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andreevans/Desktop/"/>
    </mc:Choice>
  </mc:AlternateContent>
  <xr:revisionPtr revIDLastSave="0" documentId="13_ncr:1_{00B93552-308F-9B48-ADA9-9A094496056A}" xr6:coauthVersionLast="47" xr6:coauthVersionMax="47" xr10:uidLastSave="{00000000-0000-0000-0000-000000000000}"/>
  <bookViews>
    <workbookView xWindow="-20" yWindow="640" windowWidth="30240" windowHeight="17960" tabRatio="500" firstSheet="5" activeTab="15" xr2:uid="{00000000-000D-0000-FFFF-FFFF00000000}"/>
  </bookViews>
  <sheets>
    <sheet name="Executive Summary" sheetId="1" r:id="rId1"/>
    <sheet name="README" sheetId="2" r:id="rId2"/>
    <sheet name="SKU Tracker" sheetId="3" r:id="rId3"/>
    <sheet name="Products" sheetId="4" r:id="rId4"/>
    <sheet name="CycleCounts" sheetId="5" r:id="rId5"/>
    <sheet name="Vendors" sheetId="6" r:id="rId6"/>
    <sheet name="Receiving" sheetId="7" r:id="rId7"/>
    <sheet name="Inventory Dashboard" sheetId="8" r:id="rId8"/>
    <sheet name="Vendor Dashboard" sheetId="9" r:id="rId9"/>
    <sheet name="Employees" sheetId="10" r:id="rId10"/>
    <sheet name="LaborLog" sheetId="11" r:id="rId11"/>
    <sheet name="Labor Dashboard" sheetId="12" r:id="rId12"/>
    <sheet name="Orders" sheetId="13" r:id="rId13"/>
    <sheet name="Returns" sheetId="14" r:id="rId14"/>
    <sheet name="Order Fulfillment Dashboard" sheetId="15" r:id="rId15"/>
    <sheet name="Capacity &amp; Cost Dashboard" sheetId="16" r:id="rId1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6" l="1"/>
  <c r="D21" i="16"/>
  <c r="D23" i="16" s="1"/>
  <c r="D12" i="16"/>
  <c r="D13" i="16" s="1"/>
  <c r="B7" i="16"/>
  <c r="D13" i="15"/>
  <c r="C13" i="15"/>
  <c r="D12" i="15"/>
  <c r="C12" i="15"/>
  <c r="D11" i="15"/>
  <c r="C11" i="15"/>
  <c r="D10" i="15"/>
  <c r="C10" i="15"/>
  <c r="Q6" i="15"/>
  <c r="N6" i="15"/>
  <c r="K6" i="15"/>
  <c r="E6" i="15"/>
  <c r="B6" i="15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L598" i="13"/>
  <c r="K598" i="13"/>
  <c r="J598" i="13"/>
  <c r="L597" i="13"/>
  <c r="K597" i="13"/>
  <c r="J597" i="13"/>
  <c r="L596" i="13"/>
  <c r="K596" i="13"/>
  <c r="J596" i="13"/>
  <c r="L595" i="13"/>
  <c r="K595" i="13"/>
  <c r="J595" i="13"/>
  <c r="L594" i="13"/>
  <c r="K594" i="13"/>
  <c r="J594" i="13"/>
  <c r="L593" i="13"/>
  <c r="K593" i="13"/>
  <c r="J593" i="13"/>
  <c r="L592" i="13"/>
  <c r="K592" i="13"/>
  <c r="J592" i="13"/>
  <c r="L591" i="13"/>
  <c r="K591" i="13"/>
  <c r="J591" i="13"/>
  <c r="L590" i="13"/>
  <c r="K590" i="13"/>
  <c r="J590" i="13"/>
  <c r="L589" i="13"/>
  <c r="K589" i="13"/>
  <c r="J589" i="13"/>
  <c r="L588" i="13"/>
  <c r="K588" i="13"/>
  <c r="J588" i="13"/>
  <c r="L587" i="13"/>
  <c r="K587" i="13"/>
  <c r="J587" i="13"/>
  <c r="L586" i="13"/>
  <c r="K586" i="13"/>
  <c r="J586" i="13"/>
  <c r="L585" i="13"/>
  <c r="K585" i="13"/>
  <c r="J585" i="13"/>
  <c r="L584" i="13"/>
  <c r="K584" i="13"/>
  <c r="J584" i="13"/>
  <c r="L583" i="13"/>
  <c r="K583" i="13"/>
  <c r="J583" i="13"/>
  <c r="L582" i="13"/>
  <c r="K582" i="13"/>
  <c r="J582" i="13"/>
  <c r="L581" i="13"/>
  <c r="K581" i="13"/>
  <c r="J581" i="13"/>
  <c r="L580" i="13"/>
  <c r="K580" i="13"/>
  <c r="J580" i="13"/>
  <c r="L579" i="13"/>
  <c r="K579" i="13"/>
  <c r="J579" i="13"/>
  <c r="L578" i="13"/>
  <c r="K578" i="13"/>
  <c r="J578" i="13"/>
  <c r="L577" i="13"/>
  <c r="K577" i="13"/>
  <c r="J577" i="13"/>
  <c r="L576" i="13"/>
  <c r="K576" i="13"/>
  <c r="J576" i="13"/>
  <c r="L575" i="13"/>
  <c r="K575" i="13"/>
  <c r="J575" i="13"/>
  <c r="L574" i="13"/>
  <c r="K574" i="13"/>
  <c r="J574" i="13"/>
  <c r="L573" i="13"/>
  <c r="K573" i="13"/>
  <c r="J573" i="13"/>
  <c r="L572" i="13"/>
  <c r="K572" i="13"/>
  <c r="J572" i="13"/>
  <c r="L571" i="13"/>
  <c r="K571" i="13"/>
  <c r="J571" i="13"/>
  <c r="L570" i="13"/>
  <c r="K570" i="13"/>
  <c r="J570" i="13"/>
  <c r="L569" i="13"/>
  <c r="K569" i="13"/>
  <c r="J569" i="13"/>
  <c r="L568" i="13"/>
  <c r="K568" i="13"/>
  <c r="J568" i="13"/>
  <c r="L567" i="13"/>
  <c r="K567" i="13"/>
  <c r="J567" i="13"/>
  <c r="L566" i="13"/>
  <c r="K566" i="13"/>
  <c r="J566" i="13"/>
  <c r="L565" i="13"/>
  <c r="K565" i="13"/>
  <c r="J565" i="13"/>
  <c r="L564" i="13"/>
  <c r="K564" i="13"/>
  <c r="J564" i="13"/>
  <c r="L563" i="13"/>
  <c r="K563" i="13"/>
  <c r="J563" i="13"/>
  <c r="L562" i="13"/>
  <c r="K562" i="13"/>
  <c r="J562" i="13"/>
  <c r="L561" i="13"/>
  <c r="K561" i="13"/>
  <c r="J561" i="13"/>
  <c r="L560" i="13"/>
  <c r="K560" i="13"/>
  <c r="J560" i="13"/>
  <c r="L559" i="13"/>
  <c r="K559" i="13"/>
  <c r="J559" i="13"/>
  <c r="L558" i="13"/>
  <c r="K558" i="13"/>
  <c r="J558" i="13"/>
  <c r="L557" i="13"/>
  <c r="K557" i="13"/>
  <c r="J557" i="13"/>
  <c r="L556" i="13"/>
  <c r="K556" i="13"/>
  <c r="J556" i="13"/>
  <c r="L555" i="13"/>
  <c r="K555" i="13"/>
  <c r="J555" i="13"/>
  <c r="L554" i="13"/>
  <c r="K554" i="13"/>
  <c r="J554" i="13"/>
  <c r="L553" i="13"/>
  <c r="K553" i="13"/>
  <c r="J553" i="13"/>
  <c r="L552" i="13"/>
  <c r="K552" i="13"/>
  <c r="J552" i="13"/>
  <c r="L551" i="13"/>
  <c r="K551" i="13"/>
  <c r="J551" i="13"/>
  <c r="L550" i="13"/>
  <c r="K550" i="13"/>
  <c r="J550" i="13"/>
  <c r="L549" i="13"/>
  <c r="K549" i="13"/>
  <c r="J549" i="13"/>
  <c r="L548" i="13"/>
  <c r="K548" i="13"/>
  <c r="J548" i="13"/>
  <c r="L547" i="13"/>
  <c r="K547" i="13"/>
  <c r="J547" i="13"/>
  <c r="L546" i="13"/>
  <c r="K546" i="13"/>
  <c r="J546" i="13"/>
  <c r="L545" i="13"/>
  <c r="K545" i="13"/>
  <c r="J545" i="13"/>
  <c r="L544" i="13"/>
  <c r="K544" i="13"/>
  <c r="J544" i="13"/>
  <c r="L543" i="13"/>
  <c r="K543" i="13"/>
  <c r="J543" i="13"/>
  <c r="L542" i="13"/>
  <c r="K542" i="13"/>
  <c r="J542" i="13"/>
  <c r="L541" i="13"/>
  <c r="K541" i="13"/>
  <c r="J541" i="13"/>
  <c r="L540" i="13"/>
  <c r="K540" i="13"/>
  <c r="J540" i="13"/>
  <c r="L539" i="13"/>
  <c r="K539" i="13"/>
  <c r="J539" i="13"/>
  <c r="L538" i="13"/>
  <c r="K538" i="13"/>
  <c r="J538" i="13"/>
  <c r="L537" i="13"/>
  <c r="K537" i="13"/>
  <c r="J537" i="13"/>
  <c r="L536" i="13"/>
  <c r="K536" i="13"/>
  <c r="J536" i="13"/>
  <c r="L535" i="13"/>
  <c r="K535" i="13"/>
  <c r="J535" i="13"/>
  <c r="L534" i="13"/>
  <c r="K534" i="13"/>
  <c r="J534" i="13"/>
  <c r="L533" i="13"/>
  <c r="K533" i="13"/>
  <c r="J533" i="13"/>
  <c r="L532" i="13"/>
  <c r="K532" i="13"/>
  <c r="J532" i="13"/>
  <c r="L531" i="13"/>
  <c r="K531" i="13"/>
  <c r="J531" i="13"/>
  <c r="L530" i="13"/>
  <c r="K530" i="13"/>
  <c r="J530" i="13"/>
  <c r="L529" i="13"/>
  <c r="K529" i="13"/>
  <c r="J529" i="13"/>
  <c r="L528" i="13"/>
  <c r="K528" i="13"/>
  <c r="J528" i="13"/>
  <c r="L527" i="13"/>
  <c r="K527" i="13"/>
  <c r="J527" i="13"/>
  <c r="L526" i="13"/>
  <c r="K526" i="13"/>
  <c r="J526" i="13"/>
  <c r="L525" i="13"/>
  <c r="K525" i="13"/>
  <c r="J525" i="13"/>
  <c r="L524" i="13"/>
  <c r="K524" i="13"/>
  <c r="J524" i="13"/>
  <c r="L523" i="13"/>
  <c r="K523" i="13"/>
  <c r="J523" i="13"/>
  <c r="L522" i="13"/>
  <c r="K522" i="13"/>
  <c r="J522" i="13"/>
  <c r="L521" i="13"/>
  <c r="K521" i="13"/>
  <c r="J521" i="13"/>
  <c r="L520" i="13"/>
  <c r="K520" i="13"/>
  <c r="J520" i="13"/>
  <c r="L519" i="13"/>
  <c r="K519" i="13"/>
  <c r="J519" i="13"/>
  <c r="L518" i="13"/>
  <c r="K518" i="13"/>
  <c r="J518" i="13"/>
  <c r="L517" i="13"/>
  <c r="K517" i="13"/>
  <c r="J517" i="13"/>
  <c r="L516" i="13"/>
  <c r="K516" i="13"/>
  <c r="J516" i="13"/>
  <c r="L515" i="13"/>
  <c r="K515" i="13"/>
  <c r="J515" i="13"/>
  <c r="L514" i="13"/>
  <c r="K514" i="13"/>
  <c r="J514" i="13"/>
  <c r="L513" i="13"/>
  <c r="K513" i="13"/>
  <c r="J513" i="13"/>
  <c r="L512" i="13"/>
  <c r="K512" i="13"/>
  <c r="J512" i="13"/>
  <c r="L511" i="13"/>
  <c r="K511" i="13"/>
  <c r="J511" i="13"/>
  <c r="L510" i="13"/>
  <c r="K510" i="13"/>
  <c r="J510" i="13"/>
  <c r="L509" i="13"/>
  <c r="K509" i="13"/>
  <c r="J509" i="13"/>
  <c r="L508" i="13"/>
  <c r="K508" i="13"/>
  <c r="J508" i="13"/>
  <c r="L507" i="13"/>
  <c r="K507" i="13"/>
  <c r="J507" i="13"/>
  <c r="L506" i="13"/>
  <c r="K506" i="13"/>
  <c r="J506" i="13"/>
  <c r="L505" i="13"/>
  <c r="K505" i="13"/>
  <c r="J505" i="13"/>
  <c r="L504" i="13"/>
  <c r="K504" i="13"/>
  <c r="J504" i="13"/>
  <c r="L503" i="13"/>
  <c r="K503" i="13"/>
  <c r="J503" i="13"/>
  <c r="L502" i="13"/>
  <c r="K502" i="13"/>
  <c r="J502" i="13"/>
  <c r="L501" i="13"/>
  <c r="K501" i="13"/>
  <c r="J501" i="13"/>
  <c r="L500" i="13"/>
  <c r="K500" i="13"/>
  <c r="J500" i="13"/>
  <c r="L499" i="13"/>
  <c r="K499" i="13"/>
  <c r="J499" i="13"/>
  <c r="L498" i="13"/>
  <c r="K498" i="13"/>
  <c r="J498" i="13"/>
  <c r="L497" i="13"/>
  <c r="K497" i="13"/>
  <c r="J497" i="13"/>
  <c r="L496" i="13"/>
  <c r="K496" i="13"/>
  <c r="J496" i="13"/>
  <c r="L495" i="13"/>
  <c r="K495" i="13"/>
  <c r="J495" i="13"/>
  <c r="L494" i="13"/>
  <c r="K494" i="13"/>
  <c r="J494" i="13"/>
  <c r="L493" i="13"/>
  <c r="K493" i="13"/>
  <c r="J493" i="13"/>
  <c r="L492" i="13"/>
  <c r="K492" i="13"/>
  <c r="J492" i="13"/>
  <c r="L491" i="13"/>
  <c r="K491" i="13"/>
  <c r="J491" i="13"/>
  <c r="L490" i="13"/>
  <c r="K490" i="13"/>
  <c r="J490" i="13"/>
  <c r="L489" i="13"/>
  <c r="K489" i="13"/>
  <c r="J489" i="13"/>
  <c r="L488" i="13"/>
  <c r="K488" i="13"/>
  <c r="J488" i="13"/>
  <c r="L487" i="13"/>
  <c r="K487" i="13"/>
  <c r="J487" i="13"/>
  <c r="L486" i="13"/>
  <c r="K486" i="13"/>
  <c r="J486" i="13"/>
  <c r="L485" i="13"/>
  <c r="K485" i="13"/>
  <c r="J485" i="13"/>
  <c r="L484" i="13"/>
  <c r="K484" i="13"/>
  <c r="J484" i="13"/>
  <c r="L483" i="13"/>
  <c r="K483" i="13"/>
  <c r="J483" i="13"/>
  <c r="L482" i="13"/>
  <c r="K482" i="13"/>
  <c r="J482" i="13"/>
  <c r="L481" i="13"/>
  <c r="K481" i="13"/>
  <c r="J481" i="13"/>
  <c r="L480" i="13"/>
  <c r="K480" i="13"/>
  <c r="J480" i="13"/>
  <c r="L479" i="13"/>
  <c r="K479" i="13"/>
  <c r="J479" i="13"/>
  <c r="L478" i="13"/>
  <c r="K478" i="13"/>
  <c r="J478" i="13"/>
  <c r="L477" i="13"/>
  <c r="K477" i="13"/>
  <c r="J477" i="13"/>
  <c r="L476" i="13"/>
  <c r="K476" i="13"/>
  <c r="J476" i="13"/>
  <c r="L475" i="13"/>
  <c r="K475" i="13"/>
  <c r="J475" i="13"/>
  <c r="L474" i="13"/>
  <c r="K474" i="13"/>
  <c r="J474" i="13"/>
  <c r="L473" i="13"/>
  <c r="K473" i="13"/>
  <c r="J473" i="13"/>
  <c r="L472" i="13"/>
  <c r="K472" i="13"/>
  <c r="J472" i="13"/>
  <c r="L471" i="13"/>
  <c r="K471" i="13"/>
  <c r="J471" i="13"/>
  <c r="L470" i="13"/>
  <c r="K470" i="13"/>
  <c r="J470" i="13"/>
  <c r="L469" i="13"/>
  <c r="K469" i="13"/>
  <c r="J469" i="13"/>
  <c r="L468" i="13"/>
  <c r="K468" i="13"/>
  <c r="J468" i="13"/>
  <c r="L467" i="13"/>
  <c r="K467" i="13"/>
  <c r="J467" i="13"/>
  <c r="L466" i="13"/>
  <c r="K466" i="13"/>
  <c r="J466" i="13"/>
  <c r="L465" i="13"/>
  <c r="K465" i="13"/>
  <c r="J465" i="13"/>
  <c r="L464" i="13"/>
  <c r="K464" i="13"/>
  <c r="J464" i="13"/>
  <c r="L463" i="13"/>
  <c r="K463" i="13"/>
  <c r="J463" i="13"/>
  <c r="L462" i="13"/>
  <c r="K462" i="13"/>
  <c r="J462" i="13"/>
  <c r="L461" i="13"/>
  <c r="K461" i="13"/>
  <c r="J461" i="13"/>
  <c r="L460" i="13"/>
  <c r="K460" i="13"/>
  <c r="J460" i="13"/>
  <c r="L459" i="13"/>
  <c r="K459" i="13"/>
  <c r="J459" i="13"/>
  <c r="L458" i="13"/>
  <c r="K458" i="13"/>
  <c r="J458" i="13"/>
  <c r="L457" i="13"/>
  <c r="K457" i="13"/>
  <c r="J457" i="13"/>
  <c r="L456" i="13"/>
  <c r="K456" i="13"/>
  <c r="J456" i="13"/>
  <c r="L455" i="13"/>
  <c r="K455" i="13"/>
  <c r="J455" i="13"/>
  <c r="L454" i="13"/>
  <c r="K454" i="13"/>
  <c r="J454" i="13"/>
  <c r="L453" i="13"/>
  <c r="K453" i="13"/>
  <c r="J453" i="13"/>
  <c r="L452" i="13"/>
  <c r="K452" i="13"/>
  <c r="J452" i="13"/>
  <c r="L451" i="13"/>
  <c r="K451" i="13"/>
  <c r="J451" i="13"/>
  <c r="L450" i="13"/>
  <c r="K450" i="13"/>
  <c r="J450" i="13"/>
  <c r="L449" i="13"/>
  <c r="K449" i="13"/>
  <c r="J449" i="13"/>
  <c r="L448" i="13"/>
  <c r="K448" i="13"/>
  <c r="J448" i="13"/>
  <c r="L447" i="13"/>
  <c r="K447" i="13"/>
  <c r="J447" i="13"/>
  <c r="L446" i="13"/>
  <c r="K446" i="13"/>
  <c r="J446" i="13"/>
  <c r="L445" i="13"/>
  <c r="K445" i="13"/>
  <c r="J445" i="13"/>
  <c r="L444" i="13"/>
  <c r="K444" i="13"/>
  <c r="J444" i="13"/>
  <c r="L443" i="13"/>
  <c r="K443" i="13"/>
  <c r="J443" i="13"/>
  <c r="L442" i="13"/>
  <c r="K442" i="13"/>
  <c r="J442" i="13"/>
  <c r="L441" i="13"/>
  <c r="K441" i="13"/>
  <c r="J441" i="13"/>
  <c r="L440" i="13"/>
  <c r="K440" i="13"/>
  <c r="J440" i="13"/>
  <c r="L439" i="13"/>
  <c r="K439" i="13"/>
  <c r="J439" i="13"/>
  <c r="L438" i="13"/>
  <c r="K438" i="13"/>
  <c r="J438" i="13"/>
  <c r="L437" i="13"/>
  <c r="K437" i="13"/>
  <c r="J437" i="13"/>
  <c r="L436" i="13"/>
  <c r="K436" i="13"/>
  <c r="J436" i="13"/>
  <c r="L435" i="13"/>
  <c r="K435" i="13"/>
  <c r="J435" i="13"/>
  <c r="L434" i="13"/>
  <c r="K434" i="13"/>
  <c r="J434" i="13"/>
  <c r="L433" i="13"/>
  <c r="K433" i="13"/>
  <c r="J433" i="13"/>
  <c r="L432" i="13"/>
  <c r="K432" i="13"/>
  <c r="J432" i="13"/>
  <c r="L431" i="13"/>
  <c r="K431" i="13"/>
  <c r="J431" i="13"/>
  <c r="L430" i="13"/>
  <c r="K430" i="13"/>
  <c r="J430" i="13"/>
  <c r="L429" i="13"/>
  <c r="K429" i="13"/>
  <c r="J429" i="13"/>
  <c r="L428" i="13"/>
  <c r="K428" i="13"/>
  <c r="J428" i="13"/>
  <c r="L427" i="13"/>
  <c r="K427" i="13"/>
  <c r="J427" i="13"/>
  <c r="L426" i="13"/>
  <c r="K426" i="13"/>
  <c r="J426" i="13"/>
  <c r="L425" i="13"/>
  <c r="K425" i="13"/>
  <c r="J425" i="13"/>
  <c r="L424" i="13"/>
  <c r="K424" i="13"/>
  <c r="J424" i="13"/>
  <c r="L423" i="13"/>
  <c r="K423" i="13"/>
  <c r="J423" i="13"/>
  <c r="L422" i="13"/>
  <c r="K422" i="13"/>
  <c r="J422" i="13"/>
  <c r="L421" i="13"/>
  <c r="K421" i="13"/>
  <c r="J421" i="13"/>
  <c r="L420" i="13"/>
  <c r="K420" i="13"/>
  <c r="J420" i="13"/>
  <c r="L419" i="13"/>
  <c r="K419" i="13"/>
  <c r="J419" i="13"/>
  <c r="L418" i="13"/>
  <c r="K418" i="13"/>
  <c r="J418" i="13"/>
  <c r="L417" i="13"/>
  <c r="K417" i="13"/>
  <c r="J417" i="13"/>
  <c r="L416" i="13"/>
  <c r="K416" i="13"/>
  <c r="J416" i="13"/>
  <c r="L415" i="13"/>
  <c r="K415" i="13"/>
  <c r="J415" i="13"/>
  <c r="L414" i="13"/>
  <c r="K414" i="13"/>
  <c r="J414" i="13"/>
  <c r="L413" i="13"/>
  <c r="K413" i="13"/>
  <c r="J413" i="13"/>
  <c r="L412" i="13"/>
  <c r="K412" i="13"/>
  <c r="J412" i="13"/>
  <c r="L411" i="13"/>
  <c r="K411" i="13"/>
  <c r="J411" i="13"/>
  <c r="L410" i="13"/>
  <c r="K410" i="13"/>
  <c r="J410" i="13"/>
  <c r="L409" i="13"/>
  <c r="K409" i="13"/>
  <c r="J409" i="13"/>
  <c r="L408" i="13"/>
  <c r="K408" i="13"/>
  <c r="J408" i="13"/>
  <c r="L407" i="13"/>
  <c r="K407" i="13"/>
  <c r="J407" i="13"/>
  <c r="L406" i="13"/>
  <c r="K406" i="13"/>
  <c r="J406" i="13"/>
  <c r="L405" i="13"/>
  <c r="K405" i="13"/>
  <c r="J405" i="13"/>
  <c r="L404" i="13"/>
  <c r="K404" i="13"/>
  <c r="J404" i="13"/>
  <c r="L403" i="13"/>
  <c r="K403" i="13"/>
  <c r="J403" i="13"/>
  <c r="L402" i="13"/>
  <c r="K402" i="13"/>
  <c r="J402" i="13"/>
  <c r="L401" i="13"/>
  <c r="K401" i="13"/>
  <c r="J401" i="13"/>
  <c r="L400" i="13"/>
  <c r="K400" i="13"/>
  <c r="J400" i="13"/>
  <c r="L399" i="13"/>
  <c r="K399" i="13"/>
  <c r="J399" i="13"/>
  <c r="L398" i="13"/>
  <c r="K398" i="13"/>
  <c r="J398" i="13"/>
  <c r="L397" i="13"/>
  <c r="K397" i="13"/>
  <c r="J397" i="13"/>
  <c r="L396" i="13"/>
  <c r="K396" i="13"/>
  <c r="J396" i="13"/>
  <c r="L395" i="13"/>
  <c r="K395" i="13"/>
  <c r="J395" i="13"/>
  <c r="L394" i="13"/>
  <c r="K394" i="13"/>
  <c r="J394" i="13"/>
  <c r="L393" i="13"/>
  <c r="K393" i="13"/>
  <c r="J393" i="13"/>
  <c r="L392" i="13"/>
  <c r="K392" i="13"/>
  <c r="J392" i="13"/>
  <c r="L391" i="13"/>
  <c r="K391" i="13"/>
  <c r="J391" i="13"/>
  <c r="L390" i="13"/>
  <c r="K390" i="13"/>
  <c r="J390" i="13"/>
  <c r="L389" i="13"/>
  <c r="K389" i="13"/>
  <c r="J389" i="13"/>
  <c r="L388" i="13"/>
  <c r="K388" i="13"/>
  <c r="J388" i="13"/>
  <c r="L387" i="13"/>
  <c r="K387" i="13"/>
  <c r="J387" i="13"/>
  <c r="L386" i="13"/>
  <c r="K386" i="13"/>
  <c r="J386" i="13"/>
  <c r="L385" i="13"/>
  <c r="K385" i="13"/>
  <c r="J385" i="13"/>
  <c r="L384" i="13"/>
  <c r="K384" i="13"/>
  <c r="J384" i="13"/>
  <c r="L383" i="13"/>
  <c r="K383" i="13"/>
  <c r="J383" i="13"/>
  <c r="L382" i="13"/>
  <c r="K382" i="13"/>
  <c r="J382" i="13"/>
  <c r="L381" i="13"/>
  <c r="K381" i="13"/>
  <c r="J381" i="13"/>
  <c r="L380" i="13"/>
  <c r="K380" i="13"/>
  <c r="J380" i="13"/>
  <c r="L379" i="13"/>
  <c r="K379" i="13"/>
  <c r="J379" i="13"/>
  <c r="L378" i="13"/>
  <c r="K378" i="13"/>
  <c r="J378" i="13"/>
  <c r="L377" i="13"/>
  <c r="K377" i="13"/>
  <c r="J377" i="13"/>
  <c r="L376" i="13"/>
  <c r="K376" i="13"/>
  <c r="J376" i="13"/>
  <c r="L375" i="13"/>
  <c r="K375" i="13"/>
  <c r="J375" i="13"/>
  <c r="L374" i="13"/>
  <c r="K374" i="13"/>
  <c r="J374" i="13"/>
  <c r="L373" i="13"/>
  <c r="K373" i="13"/>
  <c r="J373" i="13"/>
  <c r="L372" i="13"/>
  <c r="K372" i="13"/>
  <c r="J372" i="13"/>
  <c r="L371" i="13"/>
  <c r="K371" i="13"/>
  <c r="J371" i="13"/>
  <c r="L370" i="13"/>
  <c r="K370" i="13"/>
  <c r="J370" i="13"/>
  <c r="L369" i="13"/>
  <c r="K369" i="13"/>
  <c r="J369" i="13"/>
  <c r="L368" i="13"/>
  <c r="K368" i="13"/>
  <c r="J368" i="13"/>
  <c r="L367" i="13"/>
  <c r="K367" i="13"/>
  <c r="J367" i="13"/>
  <c r="L366" i="13"/>
  <c r="K366" i="13"/>
  <c r="J366" i="13"/>
  <c r="L365" i="13"/>
  <c r="K365" i="13"/>
  <c r="J365" i="13"/>
  <c r="L364" i="13"/>
  <c r="K364" i="13"/>
  <c r="J364" i="13"/>
  <c r="L363" i="13"/>
  <c r="K363" i="13"/>
  <c r="J363" i="13"/>
  <c r="L362" i="13"/>
  <c r="K362" i="13"/>
  <c r="J362" i="13"/>
  <c r="L361" i="13"/>
  <c r="K361" i="13"/>
  <c r="J361" i="13"/>
  <c r="L360" i="13"/>
  <c r="K360" i="13"/>
  <c r="J360" i="13"/>
  <c r="L359" i="13"/>
  <c r="K359" i="13"/>
  <c r="J359" i="13"/>
  <c r="L358" i="13"/>
  <c r="K358" i="13"/>
  <c r="J358" i="13"/>
  <c r="L357" i="13"/>
  <c r="K357" i="13"/>
  <c r="J357" i="13"/>
  <c r="L356" i="13"/>
  <c r="K356" i="13"/>
  <c r="J356" i="13"/>
  <c r="L355" i="13"/>
  <c r="K355" i="13"/>
  <c r="J355" i="13"/>
  <c r="L354" i="13"/>
  <c r="K354" i="13"/>
  <c r="J354" i="13"/>
  <c r="L353" i="13"/>
  <c r="K353" i="13"/>
  <c r="J353" i="13"/>
  <c r="L352" i="13"/>
  <c r="K352" i="13"/>
  <c r="J352" i="13"/>
  <c r="L351" i="13"/>
  <c r="K351" i="13"/>
  <c r="J351" i="13"/>
  <c r="L350" i="13"/>
  <c r="K350" i="13"/>
  <c r="J350" i="13"/>
  <c r="L349" i="13"/>
  <c r="K349" i="13"/>
  <c r="J349" i="13"/>
  <c r="L348" i="13"/>
  <c r="K348" i="13"/>
  <c r="J348" i="13"/>
  <c r="L347" i="13"/>
  <c r="K347" i="13"/>
  <c r="J347" i="13"/>
  <c r="L346" i="13"/>
  <c r="K346" i="13"/>
  <c r="J346" i="13"/>
  <c r="L345" i="13"/>
  <c r="K345" i="13"/>
  <c r="J345" i="13"/>
  <c r="L344" i="13"/>
  <c r="K344" i="13"/>
  <c r="J344" i="13"/>
  <c r="L343" i="13"/>
  <c r="K343" i="13"/>
  <c r="J343" i="13"/>
  <c r="L342" i="13"/>
  <c r="K342" i="13"/>
  <c r="J342" i="13"/>
  <c r="L341" i="13"/>
  <c r="K341" i="13"/>
  <c r="J341" i="13"/>
  <c r="L340" i="13"/>
  <c r="K340" i="13"/>
  <c r="J340" i="13"/>
  <c r="L339" i="13"/>
  <c r="K339" i="13"/>
  <c r="J339" i="13"/>
  <c r="L338" i="13"/>
  <c r="K338" i="13"/>
  <c r="J338" i="13"/>
  <c r="L337" i="13"/>
  <c r="K337" i="13"/>
  <c r="J337" i="13"/>
  <c r="L336" i="13"/>
  <c r="K336" i="13"/>
  <c r="J336" i="13"/>
  <c r="L335" i="13"/>
  <c r="K335" i="13"/>
  <c r="J335" i="13"/>
  <c r="L334" i="13"/>
  <c r="K334" i="13"/>
  <c r="J334" i="13"/>
  <c r="L333" i="13"/>
  <c r="K333" i="13"/>
  <c r="J333" i="13"/>
  <c r="L332" i="13"/>
  <c r="K332" i="13"/>
  <c r="J332" i="13"/>
  <c r="L331" i="13"/>
  <c r="K331" i="13"/>
  <c r="J331" i="13"/>
  <c r="L330" i="13"/>
  <c r="K330" i="13"/>
  <c r="J330" i="13"/>
  <c r="L329" i="13"/>
  <c r="K329" i="13"/>
  <c r="J329" i="13"/>
  <c r="L328" i="13"/>
  <c r="K328" i="13"/>
  <c r="J328" i="13"/>
  <c r="L327" i="13"/>
  <c r="K327" i="13"/>
  <c r="J327" i="13"/>
  <c r="L326" i="13"/>
  <c r="K326" i="13"/>
  <c r="J326" i="13"/>
  <c r="L325" i="13"/>
  <c r="K325" i="13"/>
  <c r="J325" i="13"/>
  <c r="L324" i="13"/>
  <c r="K324" i="13"/>
  <c r="J324" i="13"/>
  <c r="L323" i="13"/>
  <c r="K323" i="13"/>
  <c r="J323" i="13"/>
  <c r="L322" i="13"/>
  <c r="K322" i="13"/>
  <c r="J322" i="13"/>
  <c r="L321" i="13"/>
  <c r="K321" i="13"/>
  <c r="J321" i="13"/>
  <c r="L320" i="13"/>
  <c r="K320" i="13"/>
  <c r="J320" i="13"/>
  <c r="L319" i="13"/>
  <c r="K319" i="13"/>
  <c r="J319" i="13"/>
  <c r="L318" i="13"/>
  <c r="K318" i="13"/>
  <c r="J318" i="13"/>
  <c r="L317" i="13"/>
  <c r="K317" i="13"/>
  <c r="J317" i="13"/>
  <c r="L316" i="13"/>
  <c r="K316" i="13"/>
  <c r="J316" i="13"/>
  <c r="L315" i="13"/>
  <c r="K315" i="13"/>
  <c r="J315" i="13"/>
  <c r="L314" i="13"/>
  <c r="K314" i="13"/>
  <c r="J314" i="13"/>
  <c r="L313" i="13"/>
  <c r="K313" i="13"/>
  <c r="J313" i="13"/>
  <c r="L312" i="13"/>
  <c r="K312" i="13"/>
  <c r="J312" i="13"/>
  <c r="L311" i="13"/>
  <c r="K311" i="13"/>
  <c r="J311" i="13"/>
  <c r="L310" i="13"/>
  <c r="K310" i="13"/>
  <c r="J310" i="13"/>
  <c r="L309" i="13"/>
  <c r="K309" i="13"/>
  <c r="J309" i="13"/>
  <c r="L308" i="13"/>
  <c r="K308" i="13"/>
  <c r="J308" i="13"/>
  <c r="L307" i="13"/>
  <c r="K307" i="13"/>
  <c r="J307" i="13"/>
  <c r="L306" i="13"/>
  <c r="K306" i="13"/>
  <c r="J306" i="13"/>
  <c r="L305" i="13"/>
  <c r="K305" i="13"/>
  <c r="J305" i="13"/>
  <c r="L304" i="13"/>
  <c r="K304" i="13"/>
  <c r="J304" i="13"/>
  <c r="L303" i="13"/>
  <c r="K303" i="13"/>
  <c r="J303" i="13"/>
  <c r="L302" i="13"/>
  <c r="K302" i="13"/>
  <c r="J302" i="13"/>
  <c r="L301" i="13"/>
  <c r="K301" i="13"/>
  <c r="J301" i="13"/>
  <c r="L300" i="13"/>
  <c r="K300" i="13"/>
  <c r="J300" i="13"/>
  <c r="L299" i="13"/>
  <c r="K299" i="13"/>
  <c r="J299" i="13"/>
  <c r="L298" i="13"/>
  <c r="K298" i="13"/>
  <c r="J298" i="13"/>
  <c r="L297" i="13"/>
  <c r="K297" i="13"/>
  <c r="J297" i="13"/>
  <c r="L296" i="13"/>
  <c r="K296" i="13"/>
  <c r="J296" i="13"/>
  <c r="L295" i="13"/>
  <c r="K295" i="13"/>
  <c r="J295" i="13"/>
  <c r="L294" i="13"/>
  <c r="K294" i="13"/>
  <c r="J294" i="13"/>
  <c r="L293" i="13"/>
  <c r="K293" i="13"/>
  <c r="J293" i="13"/>
  <c r="L292" i="13"/>
  <c r="K292" i="13"/>
  <c r="J292" i="13"/>
  <c r="L291" i="13"/>
  <c r="K291" i="13"/>
  <c r="J291" i="13"/>
  <c r="L290" i="13"/>
  <c r="K290" i="13"/>
  <c r="J290" i="13"/>
  <c r="L289" i="13"/>
  <c r="K289" i="13"/>
  <c r="J289" i="13"/>
  <c r="L288" i="13"/>
  <c r="K288" i="13"/>
  <c r="J288" i="13"/>
  <c r="L287" i="13"/>
  <c r="K287" i="13"/>
  <c r="J287" i="13"/>
  <c r="L286" i="13"/>
  <c r="K286" i="13"/>
  <c r="J286" i="13"/>
  <c r="L285" i="13"/>
  <c r="K285" i="13"/>
  <c r="J285" i="13"/>
  <c r="L284" i="13"/>
  <c r="K284" i="13"/>
  <c r="J284" i="13"/>
  <c r="L283" i="13"/>
  <c r="K283" i="13"/>
  <c r="J283" i="13"/>
  <c r="L282" i="13"/>
  <c r="K282" i="13"/>
  <c r="J282" i="13"/>
  <c r="L281" i="13"/>
  <c r="K281" i="13"/>
  <c r="J281" i="13"/>
  <c r="L280" i="13"/>
  <c r="K280" i="13"/>
  <c r="J280" i="13"/>
  <c r="L279" i="13"/>
  <c r="K279" i="13"/>
  <c r="J279" i="13"/>
  <c r="L278" i="13"/>
  <c r="K278" i="13"/>
  <c r="J278" i="13"/>
  <c r="L277" i="13"/>
  <c r="K277" i="13"/>
  <c r="J277" i="13"/>
  <c r="L276" i="13"/>
  <c r="K276" i="13"/>
  <c r="J276" i="13"/>
  <c r="L275" i="13"/>
  <c r="K275" i="13"/>
  <c r="J275" i="13"/>
  <c r="L274" i="13"/>
  <c r="K274" i="13"/>
  <c r="J274" i="13"/>
  <c r="L273" i="13"/>
  <c r="K273" i="13"/>
  <c r="J273" i="13"/>
  <c r="L272" i="13"/>
  <c r="K272" i="13"/>
  <c r="J272" i="13"/>
  <c r="L271" i="13"/>
  <c r="K271" i="13"/>
  <c r="J271" i="13"/>
  <c r="L270" i="13"/>
  <c r="K270" i="13"/>
  <c r="J270" i="13"/>
  <c r="L269" i="13"/>
  <c r="K269" i="13"/>
  <c r="J269" i="13"/>
  <c r="L268" i="13"/>
  <c r="K268" i="13"/>
  <c r="J268" i="13"/>
  <c r="L267" i="13"/>
  <c r="K267" i="13"/>
  <c r="J267" i="13"/>
  <c r="L266" i="13"/>
  <c r="K266" i="13"/>
  <c r="J266" i="13"/>
  <c r="L265" i="13"/>
  <c r="K265" i="13"/>
  <c r="J265" i="13"/>
  <c r="L264" i="13"/>
  <c r="K264" i="13"/>
  <c r="J264" i="13"/>
  <c r="L263" i="13"/>
  <c r="K263" i="13"/>
  <c r="J263" i="13"/>
  <c r="L262" i="13"/>
  <c r="K262" i="13"/>
  <c r="J262" i="13"/>
  <c r="L261" i="13"/>
  <c r="K261" i="13"/>
  <c r="J261" i="13"/>
  <c r="L260" i="13"/>
  <c r="K260" i="13"/>
  <c r="J260" i="13"/>
  <c r="L259" i="13"/>
  <c r="K259" i="13"/>
  <c r="J259" i="13"/>
  <c r="L258" i="13"/>
  <c r="K258" i="13"/>
  <c r="J258" i="13"/>
  <c r="L257" i="13"/>
  <c r="K257" i="13"/>
  <c r="J257" i="13"/>
  <c r="L256" i="13"/>
  <c r="K256" i="13"/>
  <c r="J256" i="13"/>
  <c r="L255" i="13"/>
  <c r="K255" i="13"/>
  <c r="J255" i="13"/>
  <c r="L254" i="13"/>
  <c r="K254" i="13"/>
  <c r="J254" i="13"/>
  <c r="L253" i="13"/>
  <c r="K253" i="13"/>
  <c r="J253" i="13"/>
  <c r="L252" i="13"/>
  <c r="K252" i="13"/>
  <c r="J252" i="13"/>
  <c r="L251" i="13"/>
  <c r="K251" i="13"/>
  <c r="J251" i="13"/>
  <c r="L250" i="13"/>
  <c r="K250" i="13"/>
  <c r="J250" i="13"/>
  <c r="L249" i="13"/>
  <c r="K249" i="13"/>
  <c r="J249" i="13"/>
  <c r="L248" i="13"/>
  <c r="K248" i="13"/>
  <c r="J248" i="13"/>
  <c r="L247" i="13"/>
  <c r="K247" i="13"/>
  <c r="J247" i="13"/>
  <c r="L246" i="13"/>
  <c r="K246" i="13"/>
  <c r="J246" i="13"/>
  <c r="L245" i="13"/>
  <c r="K245" i="13"/>
  <c r="J245" i="13"/>
  <c r="L244" i="13"/>
  <c r="K244" i="13"/>
  <c r="J244" i="13"/>
  <c r="L243" i="13"/>
  <c r="K243" i="13"/>
  <c r="J243" i="13"/>
  <c r="L242" i="13"/>
  <c r="K242" i="13"/>
  <c r="J242" i="13"/>
  <c r="L241" i="13"/>
  <c r="K241" i="13"/>
  <c r="J241" i="13"/>
  <c r="L240" i="13"/>
  <c r="K240" i="13"/>
  <c r="J240" i="13"/>
  <c r="L239" i="13"/>
  <c r="K239" i="13"/>
  <c r="J239" i="13"/>
  <c r="L238" i="13"/>
  <c r="K238" i="13"/>
  <c r="J238" i="13"/>
  <c r="L237" i="13"/>
  <c r="K237" i="13"/>
  <c r="J237" i="13"/>
  <c r="L236" i="13"/>
  <c r="K236" i="13"/>
  <c r="J236" i="13"/>
  <c r="L235" i="13"/>
  <c r="K235" i="13"/>
  <c r="J235" i="13"/>
  <c r="L234" i="13"/>
  <c r="K234" i="13"/>
  <c r="J234" i="13"/>
  <c r="L233" i="13"/>
  <c r="K233" i="13"/>
  <c r="J233" i="13"/>
  <c r="L232" i="13"/>
  <c r="K232" i="13"/>
  <c r="J232" i="13"/>
  <c r="L231" i="13"/>
  <c r="K231" i="13"/>
  <c r="J231" i="13"/>
  <c r="L230" i="13"/>
  <c r="K230" i="13"/>
  <c r="J230" i="13"/>
  <c r="L229" i="13"/>
  <c r="K229" i="13"/>
  <c r="J229" i="13"/>
  <c r="L228" i="13"/>
  <c r="K228" i="13"/>
  <c r="J228" i="13"/>
  <c r="L227" i="13"/>
  <c r="K227" i="13"/>
  <c r="J227" i="13"/>
  <c r="L226" i="13"/>
  <c r="K226" i="13"/>
  <c r="J226" i="13"/>
  <c r="L225" i="13"/>
  <c r="K225" i="13"/>
  <c r="J225" i="13"/>
  <c r="L224" i="13"/>
  <c r="K224" i="13"/>
  <c r="J224" i="13"/>
  <c r="L223" i="13"/>
  <c r="K223" i="13"/>
  <c r="J223" i="13"/>
  <c r="L222" i="13"/>
  <c r="K222" i="13"/>
  <c r="J222" i="13"/>
  <c r="L221" i="13"/>
  <c r="K221" i="13"/>
  <c r="J221" i="13"/>
  <c r="L220" i="13"/>
  <c r="K220" i="13"/>
  <c r="J220" i="13"/>
  <c r="L219" i="13"/>
  <c r="K219" i="13"/>
  <c r="J219" i="13"/>
  <c r="L218" i="13"/>
  <c r="K218" i="13"/>
  <c r="J218" i="13"/>
  <c r="L217" i="13"/>
  <c r="K217" i="13"/>
  <c r="J217" i="13"/>
  <c r="L216" i="13"/>
  <c r="K216" i="13"/>
  <c r="J216" i="13"/>
  <c r="L215" i="13"/>
  <c r="K215" i="13"/>
  <c r="J215" i="13"/>
  <c r="L214" i="13"/>
  <c r="K214" i="13"/>
  <c r="J214" i="13"/>
  <c r="L213" i="13"/>
  <c r="K213" i="13"/>
  <c r="J213" i="13"/>
  <c r="L212" i="13"/>
  <c r="K212" i="13"/>
  <c r="J212" i="13"/>
  <c r="L211" i="13"/>
  <c r="K211" i="13"/>
  <c r="J211" i="13"/>
  <c r="L210" i="13"/>
  <c r="K210" i="13"/>
  <c r="J210" i="13"/>
  <c r="L209" i="13"/>
  <c r="K209" i="13"/>
  <c r="J209" i="13"/>
  <c r="L208" i="13"/>
  <c r="K208" i="13"/>
  <c r="J208" i="13"/>
  <c r="L207" i="13"/>
  <c r="K207" i="13"/>
  <c r="J207" i="13"/>
  <c r="L206" i="13"/>
  <c r="K206" i="13"/>
  <c r="J206" i="13"/>
  <c r="L205" i="13"/>
  <c r="K205" i="13"/>
  <c r="J205" i="13"/>
  <c r="L204" i="13"/>
  <c r="K204" i="13"/>
  <c r="J204" i="13"/>
  <c r="L203" i="13"/>
  <c r="K203" i="13"/>
  <c r="J203" i="13"/>
  <c r="L202" i="13"/>
  <c r="K202" i="13"/>
  <c r="J202" i="13"/>
  <c r="L201" i="13"/>
  <c r="K201" i="13"/>
  <c r="J201" i="13"/>
  <c r="L200" i="13"/>
  <c r="K200" i="13"/>
  <c r="J200" i="13"/>
  <c r="L199" i="13"/>
  <c r="K199" i="13"/>
  <c r="J199" i="13"/>
  <c r="L198" i="13"/>
  <c r="K198" i="13"/>
  <c r="J198" i="13"/>
  <c r="L197" i="13"/>
  <c r="K197" i="13"/>
  <c r="J197" i="13"/>
  <c r="L196" i="13"/>
  <c r="K196" i="13"/>
  <c r="J196" i="13"/>
  <c r="L195" i="13"/>
  <c r="K195" i="13"/>
  <c r="J195" i="13"/>
  <c r="L194" i="13"/>
  <c r="K194" i="13"/>
  <c r="J194" i="13"/>
  <c r="L193" i="13"/>
  <c r="K193" i="13"/>
  <c r="J193" i="13"/>
  <c r="L192" i="13"/>
  <c r="K192" i="13"/>
  <c r="J192" i="13"/>
  <c r="L191" i="13"/>
  <c r="K191" i="13"/>
  <c r="J191" i="13"/>
  <c r="L190" i="13"/>
  <c r="K190" i="13"/>
  <c r="J190" i="13"/>
  <c r="L189" i="13"/>
  <c r="K189" i="13"/>
  <c r="J189" i="13"/>
  <c r="L188" i="13"/>
  <c r="K188" i="13"/>
  <c r="J188" i="13"/>
  <c r="L187" i="13"/>
  <c r="K187" i="13"/>
  <c r="J187" i="13"/>
  <c r="L186" i="13"/>
  <c r="K186" i="13"/>
  <c r="J186" i="13"/>
  <c r="L185" i="13"/>
  <c r="K185" i="13"/>
  <c r="J185" i="13"/>
  <c r="L184" i="13"/>
  <c r="K184" i="13"/>
  <c r="J184" i="13"/>
  <c r="L183" i="13"/>
  <c r="K183" i="13"/>
  <c r="J183" i="13"/>
  <c r="L182" i="13"/>
  <c r="K182" i="13"/>
  <c r="J182" i="13"/>
  <c r="L181" i="13"/>
  <c r="K181" i="13"/>
  <c r="J181" i="13"/>
  <c r="L180" i="13"/>
  <c r="K180" i="13"/>
  <c r="J180" i="13"/>
  <c r="L179" i="13"/>
  <c r="K179" i="13"/>
  <c r="J179" i="13"/>
  <c r="L178" i="13"/>
  <c r="K178" i="13"/>
  <c r="J178" i="13"/>
  <c r="L177" i="13"/>
  <c r="K177" i="13"/>
  <c r="J177" i="13"/>
  <c r="L176" i="13"/>
  <c r="K176" i="13"/>
  <c r="J176" i="13"/>
  <c r="L175" i="13"/>
  <c r="K175" i="13"/>
  <c r="J175" i="13"/>
  <c r="L174" i="13"/>
  <c r="K174" i="13"/>
  <c r="J174" i="13"/>
  <c r="L173" i="13"/>
  <c r="K173" i="13"/>
  <c r="J173" i="13"/>
  <c r="L172" i="13"/>
  <c r="K172" i="13"/>
  <c r="J172" i="13"/>
  <c r="L171" i="13"/>
  <c r="K171" i="13"/>
  <c r="J171" i="13"/>
  <c r="L170" i="13"/>
  <c r="K170" i="13"/>
  <c r="J170" i="13"/>
  <c r="L169" i="13"/>
  <c r="K169" i="13"/>
  <c r="J169" i="13"/>
  <c r="L168" i="13"/>
  <c r="K168" i="13"/>
  <c r="J168" i="13"/>
  <c r="L167" i="13"/>
  <c r="K167" i="13"/>
  <c r="J167" i="13"/>
  <c r="L166" i="13"/>
  <c r="K166" i="13"/>
  <c r="J166" i="13"/>
  <c r="L165" i="13"/>
  <c r="K165" i="13"/>
  <c r="J165" i="13"/>
  <c r="L164" i="13"/>
  <c r="K164" i="13"/>
  <c r="J164" i="13"/>
  <c r="L163" i="13"/>
  <c r="K163" i="13"/>
  <c r="J163" i="13"/>
  <c r="L162" i="13"/>
  <c r="K162" i="13"/>
  <c r="J162" i="13"/>
  <c r="L161" i="13"/>
  <c r="K161" i="13"/>
  <c r="J161" i="13"/>
  <c r="L160" i="13"/>
  <c r="K160" i="13"/>
  <c r="J160" i="13"/>
  <c r="L159" i="13"/>
  <c r="K159" i="13"/>
  <c r="J159" i="13"/>
  <c r="L158" i="13"/>
  <c r="K158" i="13"/>
  <c r="J158" i="13"/>
  <c r="L157" i="13"/>
  <c r="K157" i="13"/>
  <c r="J157" i="13"/>
  <c r="L156" i="13"/>
  <c r="K156" i="13"/>
  <c r="J156" i="13"/>
  <c r="L155" i="13"/>
  <c r="K155" i="13"/>
  <c r="J155" i="13"/>
  <c r="L154" i="13"/>
  <c r="K154" i="13"/>
  <c r="J154" i="13"/>
  <c r="L153" i="13"/>
  <c r="K153" i="13"/>
  <c r="J153" i="13"/>
  <c r="L152" i="13"/>
  <c r="K152" i="13"/>
  <c r="J152" i="13"/>
  <c r="L151" i="13"/>
  <c r="K151" i="13"/>
  <c r="J151" i="13"/>
  <c r="L150" i="13"/>
  <c r="K150" i="13"/>
  <c r="J150" i="13"/>
  <c r="L149" i="13"/>
  <c r="K149" i="13"/>
  <c r="J149" i="13"/>
  <c r="L148" i="13"/>
  <c r="K148" i="13"/>
  <c r="J148" i="13"/>
  <c r="L147" i="13"/>
  <c r="K147" i="13"/>
  <c r="J147" i="13"/>
  <c r="L146" i="13"/>
  <c r="K146" i="13"/>
  <c r="J146" i="13"/>
  <c r="L145" i="13"/>
  <c r="K145" i="13"/>
  <c r="J145" i="13"/>
  <c r="L144" i="13"/>
  <c r="K144" i="13"/>
  <c r="J144" i="13"/>
  <c r="L143" i="13"/>
  <c r="K143" i="13"/>
  <c r="J143" i="13"/>
  <c r="L142" i="13"/>
  <c r="K142" i="13"/>
  <c r="J142" i="13"/>
  <c r="L141" i="13"/>
  <c r="K141" i="13"/>
  <c r="J141" i="13"/>
  <c r="L140" i="13"/>
  <c r="K140" i="13"/>
  <c r="J140" i="13"/>
  <c r="L139" i="13"/>
  <c r="K139" i="13"/>
  <c r="J139" i="13"/>
  <c r="L138" i="13"/>
  <c r="K138" i="13"/>
  <c r="J138" i="13"/>
  <c r="L137" i="13"/>
  <c r="K137" i="13"/>
  <c r="J137" i="13"/>
  <c r="L136" i="13"/>
  <c r="K136" i="13"/>
  <c r="J136" i="13"/>
  <c r="L135" i="13"/>
  <c r="K135" i="13"/>
  <c r="J135" i="13"/>
  <c r="L134" i="13"/>
  <c r="K134" i="13"/>
  <c r="J134" i="13"/>
  <c r="L133" i="13"/>
  <c r="K133" i="13"/>
  <c r="J133" i="13"/>
  <c r="L132" i="13"/>
  <c r="K132" i="13"/>
  <c r="J132" i="13"/>
  <c r="L131" i="13"/>
  <c r="K131" i="13"/>
  <c r="J131" i="13"/>
  <c r="L130" i="13"/>
  <c r="K130" i="13"/>
  <c r="J130" i="13"/>
  <c r="L129" i="13"/>
  <c r="K129" i="13"/>
  <c r="J129" i="13"/>
  <c r="L128" i="13"/>
  <c r="K128" i="13"/>
  <c r="J128" i="13"/>
  <c r="L127" i="13"/>
  <c r="K127" i="13"/>
  <c r="J127" i="13"/>
  <c r="L126" i="13"/>
  <c r="K126" i="13"/>
  <c r="J126" i="13"/>
  <c r="L125" i="13"/>
  <c r="K125" i="13"/>
  <c r="J125" i="13"/>
  <c r="L124" i="13"/>
  <c r="K124" i="13"/>
  <c r="J124" i="13"/>
  <c r="L123" i="13"/>
  <c r="K123" i="13"/>
  <c r="J123" i="13"/>
  <c r="L122" i="13"/>
  <c r="K122" i="13"/>
  <c r="J122" i="13"/>
  <c r="L121" i="13"/>
  <c r="K121" i="13"/>
  <c r="J121" i="13"/>
  <c r="L120" i="13"/>
  <c r="K120" i="13"/>
  <c r="J120" i="13"/>
  <c r="L119" i="13"/>
  <c r="K119" i="13"/>
  <c r="J119" i="13"/>
  <c r="L118" i="13"/>
  <c r="K118" i="13"/>
  <c r="J118" i="13"/>
  <c r="L117" i="13"/>
  <c r="K117" i="13"/>
  <c r="J117" i="13"/>
  <c r="L116" i="13"/>
  <c r="K116" i="13"/>
  <c r="J116" i="13"/>
  <c r="L115" i="13"/>
  <c r="K115" i="13"/>
  <c r="J115" i="13"/>
  <c r="L114" i="13"/>
  <c r="K114" i="13"/>
  <c r="J114" i="13"/>
  <c r="L113" i="13"/>
  <c r="K113" i="13"/>
  <c r="J113" i="13"/>
  <c r="L112" i="13"/>
  <c r="K112" i="13"/>
  <c r="J112" i="13"/>
  <c r="L111" i="13"/>
  <c r="K111" i="13"/>
  <c r="J111" i="13"/>
  <c r="L110" i="13"/>
  <c r="K110" i="13"/>
  <c r="J110" i="13"/>
  <c r="L109" i="13"/>
  <c r="K109" i="13"/>
  <c r="J109" i="13"/>
  <c r="L108" i="13"/>
  <c r="K108" i="13"/>
  <c r="J108" i="13"/>
  <c r="L107" i="13"/>
  <c r="K107" i="13"/>
  <c r="J107" i="13"/>
  <c r="L106" i="13"/>
  <c r="K106" i="13"/>
  <c r="J106" i="13"/>
  <c r="L105" i="13"/>
  <c r="K105" i="13"/>
  <c r="J105" i="13"/>
  <c r="L104" i="13"/>
  <c r="K104" i="13"/>
  <c r="J104" i="13"/>
  <c r="L103" i="13"/>
  <c r="K103" i="13"/>
  <c r="J103" i="13"/>
  <c r="L102" i="13"/>
  <c r="K102" i="13"/>
  <c r="J102" i="13"/>
  <c r="L101" i="13"/>
  <c r="K101" i="13"/>
  <c r="J101" i="13"/>
  <c r="L100" i="13"/>
  <c r="K100" i="13"/>
  <c r="J100" i="13"/>
  <c r="L99" i="13"/>
  <c r="K99" i="13"/>
  <c r="J99" i="13"/>
  <c r="L98" i="13"/>
  <c r="K98" i="13"/>
  <c r="J98" i="13"/>
  <c r="L97" i="13"/>
  <c r="K97" i="13"/>
  <c r="J97" i="13"/>
  <c r="L96" i="13"/>
  <c r="K96" i="13"/>
  <c r="J96" i="13"/>
  <c r="L95" i="13"/>
  <c r="K95" i="13"/>
  <c r="J95" i="13"/>
  <c r="L94" i="13"/>
  <c r="K94" i="13"/>
  <c r="J94" i="13"/>
  <c r="L93" i="13"/>
  <c r="K93" i="13"/>
  <c r="J93" i="13"/>
  <c r="L92" i="13"/>
  <c r="K92" i="13"/>
  <c r="J92" i="13"/>
  <c r="L91" i="13"/>
  <c r="K91" i="13"/>
  <c r="J91" i="13"/>
  <c r="L90" i="13"/>
  <c r="K90" i="13"/>
  <c r="J90" i="13"/>
  <c r="L89" i="13"/>
  <c r="K89" i="13"/>
  <c r="J89" i="13"/>
  <c r="L88" i="13"/>
  <c r="K88" i="13"/>
  <c r="J88" i="13"/>
  <c r="L87" i="13"/>
  <c r="K87" i="13"/>
  <c r="J87" i="13"/>
  <c r="L86" i="13"/>
  <c r="K86" i="13"/>
  <c r="J86" i="13"/>
  <c r="L85" i="13"/>
  <c r="K85" i="13"/>
  <c r="J85" i="13"/>
  <c r="L84" i="13"/>
  <c r="K84" i="13"/>
  <c r="J84" i="13"/>
  <c r="L83" i="13"/>
  <c r="K83" i="13"/>
  <c r="J83" i="13"/>
  <c r="L82" i="13"/>
  <c r="K82" i="13"/>
  <c r="J82" i="13"/>
  <c r="L81" i="13"/>
  <c r="K81" i="13"/>
  <c r="J81" i="13"/>
  <c r="L80" i="13"/>
  <c r="K80" i="13"/>
  <c r="J80" i="13"/>
  <c r="L79" i="13"/>
  <c r="K79" i="13"/>
  <c r="J79" i="13"/>
  <c r="L78" i="13"/>
  <c r="K78" i="13"/>
  <c r="J78" i="13"/>
  <c r="L77" i="13"/>
  <c r="K77" i="13"/>
  <c r="J77" i="13"/>
  <c r="L76" i="13"/>
  <c r="K76" i="13"/>
  <c r="J76" i="13"/>
  <c r="L75" i="13"/>
  <c r="K75" i="13"/>
  <c r="J75" i="13"/>
  <c r="L74" i="13"/>
  <c r="K74" i="13"/>
  <c r="J74" i="13"/>
  <c r="L73" i="13"/>
  <c r="K73" i="13"/>
  <c r="J73" i="13"/>
  <c r="L72" i="13"/>
  <c r="K72" i="13"/>
  <c r="J72" i="13"/>
  <c r="L71" i="13"/>
  <c r="K71" i="13"/>
  <c r="J71" i="13"/>
  <c r="L70" i="13"/>
  <c r="K70" i="13"/>
  <c r="J70" i="13"/>
  <c r="L69" i="13"/>
  <c r="K69" i="13"/>
  <c r="J69" i="13"/>
  <c r="L68" i="13"/>
  <c r="K68" i="13"/>
  <c r="J68" i="13"/>
  <c r="L67" i="13"/>
  <c r="K67" i="13"/>
  <c r="J67" i="13"/>
  <c r="L66" i="13"/>
  <c r="K66" i="13"/>
  <c r="J66" i="13"/>
  <c r="L65" i="13"/>
  <c r="K65" i="13"/>
  <c r="J65" i="13"/>
  <c r="L64" i="13"/>
  <c r="K64" i="13"/>
  <c r="J64" i="13"/>
  <c r="L63" i="13"/>
  <c r="K63" i="13"/>
  <c r="J63" i="13"/>
  <c r="L62" i="13"/>
  <c r="K62" i="13"/>
  <c r="J62" i="13"/>
  <c r="L61" i="13"/>
  <c r="K61" i="13"/>
  <c r="J61" i="13"/>
  <c r="L60" i="13"/>
  <c r="K60" i="13"/>
  <c r="J60" i="13"/>
  <c r="L59" i="13"/>
  <c r="K59" i="13"/>
  <c r="J59" i="13"/>
  <c r="L58" i="13"/>
  <c r="K58" i="13"/>
  <c r="J58" i="13"/>
  <c r="L57" i="13"/>
  <c r="K57" i="13"/>
  <c r="J57" i="13"/>
  <c r="L56" i="13"/>
  <c r="K56" i="13"/>
  <c r="J56" i="13"/>
  <c r="L55" i="13"/>
  <c r="K55" i="13"/>
  <c r="J55" i="13"/>
  <c r="L54" i="13"/>
  <c r="K54" i="13"/>
  <c r="J54" i="13"/>
  <c r="L53" i="13"/>
  <c r="K53" i="13"/>
  <c r="J53" i="13"/>
  <c r="L52" i="13"/>
  <c r="K52" i="13"/>
  <c r="J52" i="13"/>
  <c r="L51" i="13"/>
  <c r="K51" i="13"/>
  <c r="J51" i="13"/>
  <c r="L50" i="13"/>
  <c r="K50" i="13"/>
  <c r="J50" i="13"/>
  <c r="L49" i="13"/>
  <c r="K49" i="13"/>
  <c r="J49" i="13"/>
  <c r="L48" i="13"/>
  <c r="K48" i="13"/>
  <c r="J48" i="13"/>
  <c r="L47" i="13"/>
  <c r="K47" i="13"/>
  <c r="J47" i="13"/>
  <c r="L46" i="13"/>
  <c r="K46" i="13"/>
  <c r="J46" i="13"/>
  <c r="L45" i="13"/>
  <c r="K45" i="13"/>
  <c r="J45" i="13"/>
  <c r="L44" i="13"/>
  <c r="K44" i="13"/>
  <c r="J44" i="13"/>
  <c r="L43" i="13"/>
  <c r="K43" i="13"/>
  <c r="J43" i="13"/>
  <c r="L42" i="13"/>
  <c r="K42" i="13"/>
  <c r="J42" i="13"/>
  <c r="L41" i="13"/>
  <c r="K41" i="13"/>
  <c r="J41" i="13"/>
  <c r="L40" i="13"/>
  <c r="K40" i="13"/>
  <c r="J40" i="13"/>
  <c r="L39" i="13"/>
  <c r="K39" i="13"/>
  <c r="J39" i="13"/>
  <c r="L38" i="13"/>
  <c r="K38" i="13"/>
  <c r="J38" i="13"/>
  <c r="L37" i="13"/>
  <c r="K37" i="13"/>
  <c r="J37" i="13"/>
  <c r="L36" i="13"/>
  <c r="K36" i="13"/>
  <c r="J36" i="13"/>
  <c r="L35" i="13"/>
  <c r="K35" i="13"/>
  <c r="J35" i="13"/>
  <c r="L34" i="13"/>
  <c r="K34" i="13"/>
  <c r="J34" i="13"/>
  <c r="L33" i="13"/>
  <c r="K33" i="13"/>
  <c r="J33" i="13"/>
  <c r="L32" i="13"/>
  <c r="K32" i="13"/>
  <c r="J32" i="13"/>
  <c r="L31" i="13"/>
  <c r="K31" i="13"/>
  <c r="J31" i="13"/>
  <c r="L30" i="13"/>
  <c r="K30" i="13"/>
  <c r="J30" i="13"/>
  <c r="L29" i="13"/>
  <c r="K29" i="13"/>
  <c r="J29" i="13"/>
  <c r="L28" i="13"/>
  <c r="K28" i="13"/>
  <c r="J28" i="13"/>
  <c r="L27" i="13"/>
  <c r="K27" i="13"/>
  <c r="J27" i="13"/>
  <c r="L26" i="13"/>
  <c r="K26" i="13"/>
  <c r="J26" i="13"/>
  <c r="L25" i="13"/>
  <c r="K25" i="13"/>
  <c r="J25" i="13"/>
  <c r="L24" i="13"/>
  <c r="K24" i="13"/>
  <c r="J24" i="13"/>
  <c r="L23" i="13"/>
  <c r="K23" i="13"/>
  <c r="J23" i="13"/>
  <c r="L22" i="13"/>
  <c r="K22" i="13"/>
  <c r="J22" i="13"/>
  <c r="L21" i="13"/>
  <c r="K21" i="13"/>
  <c r="J21" i="13"/>
  <c r="L20" i="13"/>
  <c r="K20" i="13"/>
  <c r="J20" i="13"/>
  <c r="L19" i="13"/>
  <c r="K19" i="13"/>
  <c r="J19" i="13"/>
  <c r="L18" i="13"/>
  <c r="K18" i="13"/>
  <c r="J18" i="13"/>
  <c r="L17" i="13"/>
  <c r="K17" i="13"/>
  <c r="J17" i="13"/>
  <c r="L16" i="13"/>
  <c r="K16" i="13"/>
  <c r="J16" i="13"/>
  <c r="L15" i="13"/>
  <c r="K15" i="13"/>
  <c r="J15" i="13"/>
  <c r="L14" i="13"/>
  <c r="K14" i="13"/>
  <c r="J14" i="13"/>
  <c r="L13" i="13"/>
  <c r="K13" i="13"/>
  <c r="J13" i="13"/>
  <c r="L12" i="13"/>
  <c r="K12" i="13"/>
  <c r="J12" i="13"/>
  <c r="L11" i="13"/>
  <c r="K11" i="13"/>
  <c r="J11" i="13"/>
  <c r="L10" i="13"/>
  <c r="K10" i="13"/>
  <c r="J10" i="13"/>
  <c r="L9" i="13"/>
  <c r="K9" i="13"/>
  <c r="J9" i="13"/>
  <c r="L8" i="13"/>
  <c r="K8" i="13"/>
  <c r="J8" i="13"/>
  <c r="L7" i="13"/>
  <c r="K7" i="13"/>
  <c r="J7" i="13"/>
  <c r="L6" i="13"/>
  <c r="K6" i="13"/>
  <c r="J6" i="13"/>
  <c r="L5" i="13"/>
  <c r="K5" i="13"/>
  <c r="J5" i="13"/>
  <c r="L4" i="13"/>
  <c r="K4" i="13"/>
  <c r="J4" i="13"/>
  <c r="L3" i="13"/>
  <c r="K3" i="13"/>
  <c r="J3" i="13"/>
  <c r="L2" i="13"/>
  <c r="D40" i="16" s="1"/>
  <c r="K2" i="13"/>
  <c r="J2" i="13"/>
  <c r="H6" i="15" s="1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D13" i="12"/>
  <c r="E13" i="12" s="1"/>
  <c r="C13" i="12"/>
  <c r="D12" i="12"/>
  <c r="E12" i="12" s="1"/>
  <c r="C12" i="12"/>
  <c r="D11" i="12"/>
  <c r="E11" i="12" s="1"/>
  <c r="C11" i="12"/>
  <c r="D10" i="12"/>
  <c r="E10" i="12" s="1"/>
  <c r="C10" i="12"/>
  <c r="N6" i="12"/>
  <c r="J6" i="12"/>
  <c r="F6" i="12"/>
  <c r="B6" i="12"/>
  <c r="M888" i="11"/>
  <c r="L888" i="11"/>
  <c r="J888" i="11"/>
  <c r="K888" i="11" s="1"/>
  <c r="I888" i="11"/>
  <c r="H888" i="11"/>
  <c r="M887" i="11"/>
  <c r="L887" i="11"/>
  <c r="J887" i="11"/>
  <c r="K887" i="11" s="1"/>
  <c r="I887" i="11"/>
  <c r="H887" i="11"/>
  <c r="M886" i="11"/>
  <c r="L886" i="11"/>
  <c r="J886" i="11"/>
  <c r="K886" i="11" s="1"/>
  <c r="I886" i="11"/>
  <c r="H886" i="11"/>
  <c r="M885" i="11"/>
  <c r="L885" i="11"/>
  <c r="J885" i="11"/>
  <c r="K885" i="11" s="1"/>
  <c r="I885" i="11"/>
  <c r="H885" i="11"/>
  <c r="M884" i="11"/>
  <c r="L884" i="11"/>
  <c r="J884" i="11"/>
  <c r="K884" i="11" s="1"/>
  <c r="I884" i="11"/>
  <c r="H884" i="11"/>
  <c r="M883" i="11"/>
  <c r="L883" i="11"/>
  <c r="J883" i="11"/>
  <c r="K883" i="11" s="1"/>
  <c r="I883" i="11"/>
  <c r="H883" i="11"/>
  <c r="M882" i="11"/>
  <c r="L882" i="11"/>
  <c r="K882" i="11"/>
  <c r="J882" i="11"/>
  <c r="I882" i="11"/>
  <c r="H882" i="11"/>
  <c r="M881" i="11"/>
  <c r="L881" i="11"/>
  <c r="J881" i="11"/>
  <c r="K881" i="11" s="1"/>
  <c r="I881" i="11"/>
  <c r="H881" i="11"/>
  <c r="M880" i="11"/>
  <c r="L880" i="11"/>
  <c r="J880" i="11"/>
  <c r="K880" i="11" s="1"/>
  <c r="I880" i="11"/>
  <c r="H880" i="11"/>
  <c r="M879" i="11"/>
  <c r="L879" i="11"/>
  <c r="J879" i="11"/>
  <c r="K879" i="11" s="1"/>
  <c r="I879" i="11"/>
  <c r="H879" i="11"/>
  <c r="M878" i="11"/>
  <c r="L878" i="11"/>
  <c r="J878" i="11"/>
  <c r="K878" i="11" s="1"/>
  <c r="I878" i="11"/>
  <c r="H878" i="11"/>
  <c r="M877" i="11"/>
  <c r="L877" i="11"/>
  <c r="J877" i="11"/>
  <c r="K877" i="11" s="1"/>
  <c r="I877" i="11"/>
  <c r="H877" i="11"/>
  <c r="M876" i="11"/>
  <c r="L876" i="11"/>
  <c r="J876" i="11"/>
  <c r="K876" i="11" s="1"/>
  <c r="I876" i="11"/>
  <c r="H876" i="11"/>
  <c r="M875" i="11"/>
  <c r="L875" i="11"/>
  <c r="J875" i="11"/>
  <c r="K875" i="11" s="1"/>
  <c r="I875" i="11"/>
  <c r="H875" i="11"/>
  <c r="M874" i="11"/>
  <c r="L874" i="11"/>
  <c r="J874" i="11"/>
  <c r="K874" i="11" s="1"/>
  <c r="I874" i="11"/>
  <c r="H874" i="11"/>
  <c r="M873" i="11"/>
  <c r="L873" i="11"/>
  <c r="J873" i="11"/>
  <c r="K873" i="11" s="1"/>
  <c r="I873" i="11"/>
  <c r="H873" i="11"/>
  <c r="M872" i="11"/>
  <c r="L872" i="11"/>
  <c r="J872" i="11"/>
  <c r="K872" i="11" s="1"/>
  <c r="I872" i="11"/>
  <c r="H872" i="11"/>
  <c r="M871" i="11"/>
  <c r="L871" i="11"/>
  <c r="J871" i="11"/>
  <c r="K871" i="11" s="1"/>
  <c r="I871" i="11"/>
  <c r="H871" i="11"/>
  <c r="M870" i="11"/>
  <c r="L870" i="11"/>
  <c r="J870" i="11"/>
  <c r="K870" i="11" s="1"/>
  <c r="I870" i="11"/>
  <c r="H870" i="11"/>
  <c r="M869" i="11"/>
  <c r="L869" i="11"/>
  <c r="J869" i="11"/>
  <c r="K869" i="11" s="1"/>
  <c r="I869" i="11"/>
  <c r="H869" i="11"/>
  <c r="M868" i="11"/>
  <c r="L868" i="11"/>
  <c r="J868" i="11"/>
  <c r="K868" i="11" s="1"/>
  <c r="I868" i="11"/>
  <c r="H868" i="11"/>
  <c r="M867" i="11"/>
  <c r="L867" i="11"/>
  <c r="J867" i="11"/>
  <c r="K867" i="11" s="1"/>
  <c r="I867" i="11"/>
  <c r="H867" i="11"/>
  <c r="M866" i="11"/>
  <c r="L866" i="11"/>
  <c r="J866" i="11"/>
  <c r="K866" i="11" s="1"/>
  <c r="I866" i="11"/>
  <c r="H866" i="11"/>
  <c r="M865" i="11"/>
  <c r="L865" i="11"/>
  <c r="J865" i="11"/>
  <c r="K865" i="11" s="1"/>
  <c r="I865" i="11"/>
  <c r="H865" i="11"/>
  <c r="M864" i="11"/>
  <c r="L864" i="11"/>
  <c r="J864" i="11"/>
  <c r="K864" i="11" s="1"/>
  <c r="I864" i="11"/>
  <c r="H864" i="11"/>
  <c r="M863" i="11"/>
  <c r="L863" i="11"/>
  <c r="J863" i="11"/>
  <c r="K863" i="11" s="1"/>
  <c r="I863" i="11"/>
  <c r="H863" i="11"/>
  <c r="M862" i="11"/>
  <c r="L862" i="11"/>
  <c r="J862" i="11"/>
  <c r="K862" i="11" s="1"/>
  <c r="I862" i="11"/>
  <c r="H862" i="11"/>
  <c r="M861" i="11"/>
  <c r="L861" i="11"/>
  <c r="J861" i="11"/>
  <c r="K861" i="11" s="1"/>
  <c r="I861" i="11"/>
  <c r="H861" i="11"/>
  <c r="M860" i="11"/>
  <c r="L860" i="11"/>
  <c r="J860" i="11"/>
  <c r="K860" i="11" s="1"/>
  <c r="I860" i="11"/>
  <c r="H860" i="11"/>
  <c r="M859" i="11"/>
  <c r="L859" i="11"/>
  <c r="J859" i="11"/>
  <c r="K859" i="11" s="1"/>
  <c r="I859" i="11"/>
  <c r="H859" i="11"/>
  <c r="M858" i="11"/>
  <c r="L858" i="11"/>
  <c r="J858" i="11"/>
  <c r="K858" i="11" s="1"/>
  <c r="I858" i="11"/>
  <c r="H858" i="11"/>
  <c r="M857" i="11"/>
  <c r="L857" i="11"/>
  <c r="J857" i="11"/>
  <c r="K857" i="11" s="1"/>
  <c r="I857" i="11"/>
  <c r="H857" i="11"/>
  <c r="M856" i="11"/>
  <c r="L856" i="11"/>
  <c r="J856" i="11"/>
  <c r="K856" i="11" s="1"/>
  <c r="I856" i="11"/>
  <c r="H856" i="11"/>
  <c r="M855" i="11"/>
  <c r="L855" i="11"/>
  <c r="J855" i="11"/>
  <c r="K855" i="11" s="1"/>
  <c r="I855" i="11"/>
  <c r="H855" i="11"/>
  <c r="M854" i="11"/>
  <c r="L854" i="11"/>
  <c r="J854" i="11"/>
  <c r="K854" i="11" s="1"/>
  <c r="I854" i="11"/>
  <c r="H854" i="11"/>
  <c r="M853" i="11"/>
  <c r="L853" i="11"/>
  <c r="J853" i="11"/>
  <c r="K853" i="11" s="1"/>
  <c r="I853" i="11"/>
  <c r="H853" i="11"/>
  <c r="M852" i="11"/>
  <c r="L852" i="11"/>
  <c r="J852" i="11"/>
  <c r="K852" i="11" s="1"/>
  <c r="I852" i="11"/>
  <c r="H852" i="11"/>
  <c r="M851" i="11"/>
  <c r="L851" i="11"/>
  <c r="J851" i="11"/>
  <c r="K851" i="11" s="1"/>
  <c r="I851" i="11"/>
  <c r="H851" i="11"/>
  <c r="M850" i="11"/>
  <c r="L850" i="11"/>
  <c r="J850" i="11"/>
  <c r="K850" i="11" s="1"/>
  <c r="I850" i="11"/>
  <c r="H850" i="11"/>
  <c r="M849" i="11"/>
  <c r="L849" i="11"/>
  <c r="J849" i="11"/>
  <c r="K849" i="11" s="1"/>
  <c r="I849" i="11"/>
  <c r="H849" i="11"/>
  <c r="M848" i="11"/>
  <c r="L848" i="11"/>
  <c r="J848" i="11"/>
  <c r="K848" i="11" s="1"/>
  <c r="I848" i="11"/>
  <c r="H848" i="11"/>
  <c r="M847" i="11"/>
  <c r="L847" i="11"/>
  <c r="J847" i="11"/>
  <c r="K847" i="11" s="1"/>
  <c r="I847" i="11"/>
  <c r="H847" i="11"/>
  <c r="M846" i="11"/>
  <c r="L846" i="11"/>
  <c r="J846" i="11"/>
  <c r="K846" i="11" s="1"/>
  <c r="I846" i="11"/>
  <c r="H846" i="11"/>
  <c r="M845" i="11"/>
  <c r="L845" i="11"/>
  <c r="J845" i="11"/>
  <c r="K845" i="11" s="1"/>
  <c r="I845" i="11"/>
  <c r="H845" i="11"/>
  <c r="M844" i="11"/>
  <c r="L844" i="11"/>
  <c r="J844" i="11"/>
  <c r="K844" i="11" s="1"/>
  <c r="I844" i="11"/>
  <c r="H844" i="11"/>
  <c r="M843" i="11"/>
  <c r="L843" i="11"/>
  <c r="J843" i="11"/>
  <c r="K843" i="11" s="1"/>
  <c r="I843" i="11"/>
  <c r="H843" i="11"/>
  <c r="M842" i="11"/>
  <c r="L842" i="11"/>
  <c r="J842" i="11"/>
  <c r="K842" i="11" s="1"/>
  <c r="I842" i="11"/>
  <c r="H842" i="11"/>
  <c r="M841" i="11"/>
  <c r="L841" i="11"/>
  <c r="J841" i="11"/>
  <c r="K841" i="11" s="1"/>
  <c r="I841" i="11"/>
  <c r="H841" i="11"/>
  <c r="M840" i="11"/>
  <c r="L840" i="11"/>
  <c r="J840" i="11"/>
  <c r="K840" i="11" s="1"/>
  <c r="I840" i="11"/>
  <c r="H840" i="11"/>
  <c r="M839" i="11"/>
  <c r="L839" i="11"/>
  <c r="J839" i="11"/>
  <c r="K839" i="11" s="1"/>
  <c r="I839" i="11"/>
  <c r="H839" i="11"/>
  <c r="M838" i="11"/>
  <c r="L838" i="11"/>
  <c r="J838" i="11"/>
  <c r="K838" i="11" s="1"/>
  <c r="I838" i="11"/>
  <c r="H838" i="11"/>
  <c r="M837" i="11"/>
  <c r="L837" i="11"/>
  <c r="J837" i="11"/>
  <c r="K837" i="11" s="1"/>
  <c r="I837" i="11"/>
  <c r="H837" i="11"/>
  <c r="M836" i="11"/>
  <c r="L836" i="11"/>
  <c r="J836" i="11"/>
  <c r="K836" i="11" s="1"/>
  <c r="I836" i="11"/>
  <c r="H836" i="11"/>
  <c r="M835" i="11"/>
  <c r="L835" i="11"/>
  <c r="J835" i="11"/>
  <c r="K835" i="11" s="1"/>
  <c r="I835" i="11"/>
  <c r="H835" i="11"/>
  <c r="M834" i="11"/>
  <c r="L834" i="11"/>
  <c r="J834" i="11"/>
  <c r="K834" i="11" s="1"/>
  <c r="I834" i="11"/>
  <c r="H834" i="11"/>
  <c r="M833" i="11"/>
  <c r="L833" i="11"/>
  <c r="J833" i="11"/>
  <c r="K833" i="11" s="1"/>
  <c r="I833" i="11"/>
  <c r="H833" i="11"/>
  <c r="M832" i="11"/>
  <c r="L832" i="11"/>
  <c r="J832" i="11"/>
  <c r="K832" i="11" s="1"/>
  <c r="I832" i="11"/>
  <c r="H832" i="11"/>
  <c r="M831" i="11"/>
  <c r="L831" i="11"/>
  <c r="J831" i="11"/>
  <c r="K831" i="11" s="1"/>
  <c r="I831" i="11"/>
  <c r="H831" i="11"/>
  <c r="M830" i="11"/>
  <c r="L830" i="11"/>
  <c r="J830" i="11"/>
  <c r="K830" i="11" s="1"/>
  <c r="I830" i="11"/>
  <c r="H830" i="11"/>
  <c r="M829" i="11"/>
  <c r="L829" i="11"/>
  <c r="J829" i="11"/>
  <c r="K829" i="11" s="1"/>
  <c r="I829" i="11"/>
  <c r="H829" i="11"/>
  <c r="M828" i="11"/>
  <c r="L828" i="11"/>
  <c r="J828" i="11"/>
  <c r="K828" i="11" s="1"/>
  <c r="I828" i="11"/>
  <c r="H828" i="11"/>
  <c r="M827" i="11"/>
  <c r="L827" i="11"/>
  <c r="J827" i="11"/>
  <c r="K827" i="11" s="1"/>
  <c r="I827" i="11"/>
  <c r="H827" i="11"/>
  <c r="M826" i="11"/>
  <c r="L826" i="11"/>
  <c r="J826" i="11"/>
  <c r="K826" i="11" s="1"/>
  <c r="I826" i="11"/>
  <c r="H826" i="11"/>
  <c r="M825" i="11"/>
  <c r="L825" i="11"/>
  <c r="J825" i="11"/>
  <c r="K825" i="11" s="1"/>
  <c r="I825" i="11"/>
  <c r="H825" i="11"/>
  <c r="M824" i="11"/>
  <c r="L824" i="11"/>
  <c r="J824" i="11"/>
  <c r="K824" i="11" s="1"/>
  <c r="I824" i="11"/>
  <c r="H824" i="11"/>
  <c r="M823" i="11"/>
  <c r="L823" i="11"/>
  <c r="J823" i="11"/>
  <c r="K823" i="11" s="1"/>
  <c r="I823" i="11"/>
  <c r="H823" i="11"/>
  <c r="M822" i="11"/>
  <c r="L822" i="11"/>
  <c r="J822" i="11"/>
  <c r="K822" i="11" s="1"/>
  <c r="I822" i="11"/>
  <c r="H822" i="11"/>
  <c r="M821" i="11"/>
  <c r="L821" i="11"/>
  <c r="J821" i="11"/>
  <c r="K821" i="11" s="1"/>
  <c r="I821" i="11"/>
  <c r="H821" i="11"/>
  <c r="M820" i="11"/>
  <c r="L820" i="11"/>
  <c r="J820" i="11"/>
  <c r="K820" i="11" s="1"/>
  <c r="I820" i="11"/>
  <c r="H820" i="11"/>
  <c r="M819" i="11"/>
  <c r="L819" i="11"/>
  <c r="J819" i="11"/>
  <c r="K819" i="11" s="1"/>
  <c r="I819" i="11"/>
  <c r="H819" i="11"/>
  <c r="M818" i="11"/>
  <c r="L818" i="11"/>
  <c r="J818" i="11"/>
  <c r="K818" i="11" s="1"/>
  <c r="I818" i="11"/>
  <c r="H818" i="11"/>
  <c r="M817" i="11"/>
  <c r="L817" i="11"/>
  <c r="J817" i="11"/>
  <c r="K817" i="11" s="1"/>
  <c r="I817" i="11"/>
  <c r="H817" i="11"/>
  <c r="M816" i="11"/>
  <c r="L816" i="11"/>
  <c r="J816" i="11"/>
  <c r="K816" i="11" s="1"/>
  <c r="I816" i="11"/>
  <c r="H816" i="11"/>
  <c r="M815" i="11"/>
  <c r="L815" i="11"/>
  <c r="J815" i="11"/>
  <c r="K815" i="11" s="1"/>
  <c r="I815" i="11"/>
  <c r="H815" i="11"/>
  <c r="M814" i="11"/>
  <c r="L814" i="11"/>
  <c r="J814" i="11"/>
  <c r="K814" i="11" s="1"/>
  <c r="I814" i="11"/>
  <c r="H814" i="11"/>
  <c r="M813" i="11"/>
  <c r="L813" i="11"/>
  <c r="J813" i="11"/>
  <c r="K813" i="11" s="1"/>
  <c r="I813" i="11"/>
  <c r="H813" i="11"/>
  <c r="M812" i="11"/>
  <c r="L812" i="11"/>
  <c r="J812" i="11"/>
  <c r="K812" i="11" s="1"/>
  <c r="I812" i="11"/>
  <c r="H812" i="11"/>
  <c r="M811" i="11"/>
  <c r="L811" i="11"/>
  <c r="J811" i="11"/>
  <c r="K811" i="11" s="1"/>
  <c r="I811" i="11"/>
  <c r="H811" i="11"/>
  <c r="M810" i="11"/>
  <c r="L810" i="11"/>
  <c r="J810" i="11"/>
  <c r="K810" i="11" s="1"/>
  <c r="I810" i="11"/>
  <c r="H810" i="11"/>
  <c r="M809" i="11"/>
  <c r="L809" i="11"/>
  <c r="J809" i="11"/>
  <c r="K809" i="11" s="1"/>
  <c r="I809" i="11"/>
  <c r="H809" i="11"/>
  <c r="M808" i="11"/>
  <c r="L808" i="11"/>
  <c r="J808" i="11"/>
  <c r="K808" i="11" s="1"/>
  <c r="I808" i="11"/>
  <c r="H808" i="11"/>
  <c r="M807" i="11"/>
  <c r="L807" i="11"/>
  <c r="J807" i="11"/>
  <c r="K807" i="11" s="1"/>
  <c r="I807" i="11"/>
  <c r="H807" i="11"/>
  <c r="M806" i="11"/>
  <c r="L806" i="11"/>
  <c r="J806" i="11"/>
  <c r="K806" i="11" s="1"/>
  <c r="I806" i="11"/>
  <c r="H806" i="11"/>
  <c r="M805" i="11"/>
  <c r="L805" i="11"/>
  <c r="J805" i="11"/>
  <c r="K805" i="11" s="1"/>
  <c r="I805" i="11"/>
  <c r="H805" i="11"/>
  <c r="M804" i="11"/>
  <c r="L804" i="11"/>
  <c r="J804" i="11"/>
  <c r="K804" i="11" s="1"/>
  <c r="I804" i="11"/>
  <c r="H804" i="11"/>
  <c r="M803" i="11"/>
  <c r="L803" i="11"/>
  <c r="J803" i="11"/>
  <c r="K803" i="11" s="1"/>
  <c r="I803" i="11"/>
  <c r="H803" i="11"/>
  <c r="M802" i="11"/>
  <c r="L802" i="11"/>
  <c r="J802" i="11"/>
  <c r="K802" i="11" s="1"/>
  <c r="I802" i="11"/>
  <c r="H802" i="11"/>
  <c r="M801" i="11"/>
  <c r="L801" i="11"/>
  <c r="J801" i="11"/>
  <c r="K801" i="11" s="1"/>
  <c r="I801" i="11"/>
  <c r="H801" i="11"/>
  <c r="M800" i="11"/>
  <c r="L800" i="11"/>
  <c r="J800" i="11"/>
  <c r="K800" i="11" s="1"/>
  <c r="I800" i="11"/>
  <c r="H800" i="11"/>
  <c r="M799" i="11"/>
  <c r="L799" i="11"/>
  <c r="J799" i="11"/>
  <c r="K799" i="11" s="1"/>
  <c r="I799" i="11"/>
  <c r="H799" i="11"/>
  <c r="M798" i="11"/>
  <c r="L798" i="11"/>
  <c r="J798" i="11"/>
  <c r="K798" i="11" s="1"/>
  <c r="I798" i="11"/>
  <c r="H798" i="11"/>
  <c r="M797" i="11"/>
  <c r="L797" i="11"/>
  <c r="J797" i="11"/>
  <c r="K797" i="11" s="1"/>
  <c r="I797" i="11"/>
  <c r="H797" i="11"/>
  <c r="M796" i="11"/>
  <c r="L796" i="11"/>
  <c r="J796" i="11"/>
  <c r="K796" i="11" s="1"/>
  <c r="I796" i="11"/>
  <c r="H796" i="11"/>
  <c r="M795" i="11"/>
  <c r="L795" i="11"/>
  <c r="J795" i="11"/>
  <c r="K795" i="11" s="1"/>
  <c r="I795" i="11"/>
  <c r="H795" i="11"/>
  <c r="M794" i="11"/>
  <c r="L794" i="11"/>
  <c r="J794" i="11"/>
  <c r="K794" i="11" s="1"/>
  <c r="I794" i="11"/>
  <c r="H794" i="11"/>
  <c r="M793" i="11"/>
  <c r="L793" i="11"/>
  <c r="J793" i="11"/>
  <c r="K793" i="11" s="1"/>
  <c r="I793" i="11"/>
  <c r="H793" i="11"/>
  <c r="M792" i="11"/>
  <c r="L792" i="11"/>
  <c r="J792" i="11"/>
  <c r="K792" i="11" s="1"/>
  <c r="I792" i="11"/>
  <c r="H792" i="11"/>
  <c r="M791" i="11"/>
  <c r="L791" i="11"/>
  <c r="J791" i="11"/>
  <c r="K791" i="11" s="1"/>
  <c r="I791" i="11"/>
  <c r="H791" i="11"/>
  <c r="M790" i="11"/>
  <c r="L790" i="11"/>
  <c r="J790" i="11"/>
  <c r="K790" i="11" s="1"/>
  <c r="I790" i="11"/>
  <c r="H790" i="11"/>
  <c r="M789" i="11"/>
  <c r="L789" i="11"/>
  <c r="J789" i="11"/>
  <c r="K789" i="11" s="1"/>
  <c r="I789" i="11"/>
  <c r="H789" i="11"/>
  <c r="M788" i="11"/>
  <c r="L788" i="11"/>
  <c r="J788" i="11"/>
  <c r="K788" i="11" s="1"/>
  <c r="I788" i="11"/>
  <c r="H788" i="11"/>
  <c r="M787" i="11"/>
  <c r="L787" i="11"/>
  <c r="J787" i="11"/>
  <c r="K787" i="11" s="1"/>
  <c r="I787" i="11"/>
  <c r="H787" i="11"/>
  <c r="M786" i="11"/>
  <c r="L786" i="11"/>
  <c r="J786" i="11"/>
  <c r="K786" i="11" s="1"/>
  <c r="I786" i="11"/>
  <c r="H786" i="11"/>
  <c r="M785" i="11"/>
  <c r="L785" i="11"/>
  <c r="J785" i="11"/>
  <c r="K785" i="11" s="1"/>
  <c r="I785" i="11"/>
  <c r="H785" i="11"/>
  <c r="M784" i="11"/>
  <c r="L784" i="11"/>
  <c r="J784" i="11"/>
  <c r="K784" i="11" s="1"/>
  <c r="I784" i="11"/>
  <c r="H784" i="11"/>
  <c r="M783" i="11"/>
  <c r="L783" i="11"/>
  <c r="J783" i="11"/>
  <c r="K783" i="11" s="1"/>
  <c r="I783" i="11"/>
  <c r="H783" i="11"/>
  <c r="M782" i="11"/>
  <c r="L782" i="11"/>
  <c r="J782" i="11"/>
  <c r="K782" i="11" s="1"/>
  <c r="I782" i="11"/>
  <c r="H782" i="11"/>
  <c r="M781" i="11"/>
  <c r="L781" i="11"/>
  <c r="J781" i="11"/>
  <c r="K781" i="11" s="1"/>
  <c r="I781" i="11"/>
  <c r="H781" i="11"/>
  <c r="M780" i="11"/>
  <c r="L780" i="11"/>
  <c r="J780" i="11"/>
  <c r="K780" i="11" s="1"/>
  <c r="I780" i="11"/>
  <c r="H780" i="11"/>
  <c r="M779" i="11"/>
  <c r="L779" i="11"/>
  <c r="J779" i="11"/>
  <c r="K779" i="11" s="1"/>
  <c r="I779" i="11"/>
  <c r="H779" i="11"/>
  <c r="M778" i="11"/>
  <c r="L778" i="11"/>
  <c r="J778" i="11"/>
  <c r="K778" i="11" s="1"/>
  <c r="I778" i="11"/>
  <c r="H778" i="11"/>
  <c r="M777" i="11"/>
  <c r="L777" i="11"/>
  <c r="J777" i="11"/>
  <c r="K777" i="11" s="1"/>
  <c r="I777" i="11"/>
  <c r="H777" i="11"/>
  <c r="M776" i="11"/>
  <c r="L776" i="11"/>
  <c r="J776" i="11"/>
  <c r="K776" i="11" s="1"/>
  <c r="I776" i="11"/>
  <c r="H776" i="11"/>
  <c r="M775" i="11"/>
  <c r="L775" i="11"/>
  <c r="J775" i="11"/>
  <c r="K775" i="11" s="1"/>
  <c r="I775" i="11"/>
  <c r="H775" i="11"/>
  <c r="M774" i="11"/>
  <c r="L774" i="11"/>
  <c r="J774" i="11"/>
  <c r="K774" i="11" s="1"/>
  <c r="I774" i="11"/>
  <c r="H774" i="11"/>
  <c r="M773" i="11"/>
  <c r="L773" i="11"/>
  <c r="J773" i="11"/>
  <c r="K773" i="11" s="1"/>
  <c r="I773" i="11"/>
  <c r="H773" i="11"/>
  <c r="M772" i="11"/>
  <c r="L772" i="11"/>
  <c r="J772" i="11"/>
  <c r="K772" i="11" s="1"/>
  <c r="I772" i="11"/>
  <c r="H772" i="11"/>
  <c r="M771" i="11"/>
  <c r="L771" i="11"/>
  <c r="J771" i="11"/>
  <c r="K771" i="11" s="1"/>
  <c r="I771" i="11"/>
  <c r="H771" i="11"/>
  <c r="M770" i="11"/>
  <c r="L770" i="11"/>
  <c r="J770" i="11"/>
  <c r="K770" i="11" s="1"/>
  <c r="I770" i="11"/>
  <c r="H770" i="11"/>
  <c r="M769" i="11"/>
  <c r="L769" i="11"/>
  <c r="J769" i="11"/>
  <c r="K769" i="11" s="1"/>
  <c r="I769" i="11"/>
  <c r="H769" i="11"/>
  <c r="M768" i="11"/>
  <c r="L768" i="11"/>
  <c r="J768" i="11"/>
  <c r="K768" i="11" s="1"/>
  <c r="I768" i="11"/>
  <c r="H768" i="11"/>
  <c r="M767" i="11"/>
  <c r="L767" i="11"/>
  <c r="J767" i="11"/>
  <c r="K767" i="11" s="1"/>
  <c r="I767" i="11"/>
  <c r="H767" i="11"/>
  <c r="M766" i="11"/>
  <c r="L766" i="11"/>
  <c r="J766" i="11"/>
  <c r="K766" i="11" s="1"/>
  <c r="I766" i="11"/>
  <c r="H766" i="11"/>
  <c r="M765" i="11"/>
  <c r="L765" i="11"/>
  <c r="J765" i="11"/>
  <c r="K765" i="11" s="1"/>
  <c r="I765" i="11"/>
  <c r="H765" i="11"/>
  <c r="M764" i="11"/>
  <c r="L764" i="11"/>
  <c r="J764" i="11"/>
  <c r="K764" i="11" s="1"/>
  <c r="I764" i="11"/>
  <c r="H764" i="11"/>
  <c r="M763" i="11"/>
  <c r="L763" i="11"/>
  <c r="J763" i="11"/>
  <c r="K763" i="11" s="1"/>
  <c r="I763" i="11"/>
  <c r="H763" i="11"/>
  <c r="M762" i="11"/>
  <c r="L762" i="11"/>
  <c r="J762" i="11"/>
  <c r="K762" i="11" s="1"/>
  <c r="I762" i="11"/>
  <c r="H762" i="11"/>
  <c r="M761" i="11"/>
  <c r="L761" i="11"/>
  <c r="J761" i="11"/>
  <c r="K761" i="11" s="1"/>
  <c r="I761" i="11"/>
  <c r="H761" i="11"/>
  <c r="M760" i="11"/>
  <c r="L760" i="11"/>
  <c r="J760" i="11"/>
  <c r="K760" i="11" s="1"/>
  <c r="I760" i="11"/>
  <c r="H760" i="11"/>
  <c r="M759" i="11"/>
  <c r="L759" i="11"/>
  <c r="J759" i="11"/>
  <c r="K759" i="11" s="1"/>
  <c r="I759" i="11"/>
  <c r="H759" i="11"/>
  <c r="M758" i="11"/>
  <c r="L758" i="11"/>
  <c r="J758" i="11"/>
  <c r="K758" i="11" s="1"/>
  <c r="I758" i="11"/>
  <c r="H758" i="11"/>
  <c r="M757" i="11"/>
  <c r="L757" i="11"/>
  <c r="J757" i="11"/>
  <c r="K757" i="11" s="1"/>
  <c r="I757" i="11"/>
  <c r="H757" i="11"/>
  <c r="M756" i="11"/>
  <c r="L756" i="11"/>
  <c r="J756" i="11"/>
  <c r="K756" i="11" s="1"/>
  <c r="I756" i="11"/>
  <c r="H756" i="11"/>
  <c r="M755" i="11"/>
  <c r="L755" i="11"/>
  <c r="J755" i="11"/>
  <c r="K755" i="11" s="1"/>
  <c r="I755" i="11"/>
  <c r="H755" i="11"/>
  <c r="M754" i="11"/>
  <c r="L754" i="11"/>
  <c r="J754" i="11"/>
  <c r="K754" i="11" s="1"/>
  <c r="I754" i="11"/>
  <c r="H754" i="11"/>
  <c r="M753" i="11"/>
  <c r="L753" i="11"/>
  <c r="J753" i="11"/>
  <c r="K753" i="11" s="1"/>
  <c r="I753" i="11"/>
  <c r="H753" i="11"/>
  <c r="M752" i="11"/>
  <c r="L752" i="11"/>
  <c r="J752" i="11"/>
  <c r="K752" i="11" s="1"/>
  <c r="I752" i="11"/>
  <c r="H752" i="11"/>
  <c r="M751" i="11"/>
  <c r="L751" i="11"/>
  <c r="J751" i="11"/>
  <c r="K751" i="11" s="1"/>
  <c r="I751" i="11"/>
  <c r="H751" i="11"/>
  <c r="M750" i="11"/>
  <c r="L750" i="11"/>
  <c r="J750" i="11"/>
  <c r="K750" i="11" s="1"/>
  <c r="I750" i="11"/>
  <c r="H750" i="11"/>
  <c r="M749" i="11"/>
  <c r="L749" i="11"/>
  <c r="J749" i="11"/>
  <c r="K749" i="11" s="1"/>
  <c r="I749" i="11"/>
  <c r="H749" i="11"/>
  <c r="M748" i="11"/>
  <c r="L748" i="11"/>
  <c r="J748" i="11"/>
  <c r="K748" i="11" s="1"/>
  <c r="I748" i="11"/>
  <c r="H748" i="11"/>
  <c r="M747" i="11"/>
  <c r="L747" i="11"/>
  <c r="J747" i="11"/>
  <c r="K747" i="11" s="1"/>
  <c r="I747" i="11"/>
  <c r="H747" i="11"/>
  <c r="M746" i="11"/>
  <c r="L746" i="11"/>
  <c r="J746" i="11"/>
  <c r="K746" i="11" s="1"/>
  <c r="I746" i="11"/>
  <c r="H746" i="11"/>
  <c r="M745" i="11"/>
  <c r="L745" i="11"/>
  <c r="J745" i="11"/>
  <c r="K745" i="11" s="1"/>
  <c r="I745" i="11"/>
  <c r="H745" i="11"/>
  <c r="M744" i="11"/>
  <c r="L744" i="11"/>
  <c r="J744" i="11"/>
  <c r="K744" i="11" s="1"/>
  <c r="I744" i="11"/>
  <c r="H744" i="11"/>
  <c r="M743" i="11"/>
  <c r="L743" i="11"/>
  <c r="J743" i="11"/>
  <c r="K743" i="11" s="1"/>
  <c r="I743" i="11"/>
  <c r="H743" i="11"/>
  <c r="M742" i="11"/>
  <c r="L742" i="11"/>
  <c r="J742" i="11"/>
  <c r="K742" i="11" s="1"/>
  <c r="I742" i="11"/>
  <c r="H742" i="11"/>
  <c r="M741" i="11"/>
  <c r="L741" i="11"/>
  <c r="J741" i="11"/>
  <c r="K741" i="11" s="1"/>
  <c r="I741" i="11"/>
  <c r="H741" i="11"/>
  <c r="M740" i="11"/>
  <c r="L740" i="11"/>
  <c r="J740" i="11"/>
  <c r="K740" i="11" s="1"/>
  <c r="I740" i="11"/>
  <c r="H740" i="11"/>
  <c r="M739" i="11"/>
  <c r="L739" i="11"/>
  <c r="J739" i="11"/>
  <c r="K739" i="11" s="1"/>
  <c r="I739" i="11"/>
  <c r="H739" i="11"/>
  <c r="M738" i="11"/>
  <c r="L738" i="11"/>
  <c r="J738" i="11"/>
  <c r="K738" i="11" s="1"/>
  <c r="I738" i="11"/>
  <c r="H738" i="11"/>
  <c r="M737" i="11"/>
  <c r="L737" i="11"/>
  <c r="J737" i="11"/>
  <c r="K737" i="11" s="1"/>
  <c r="I737" i="11"/>
  <c r="H737" i="11"/>
  <c r="M736" i="11"/>
  <c r="L736" i="11"/>
  <c r="J736" i="11"/>
  <c r="K736" i="11" s="1"/>
  <c r="I736" i="11"/>
  <c r="H736" i="11"/>
  <c r="M735" i="11"/>
  <c r="L735" i="11"/>
  <c r="J735" i="11"/>
  <c r="K735" i="11" s="1"/>
  <c r="I735" i="11"/>
  <c r="H735" i="11"/>
  <c r="M734" i="11"/>
  <c r="L734" i="11"/>
  <c r="J734" i="11"/>
  <c r="K734" i="11" s="1"/>
  <c r="I734" i="11"/>
  <c r="H734" i="11"/>
  <c r="M733" i="11"/>
  <c r="L733" i="11"/>
  <c r="J733" i="11"/>
  <c r="K733" i="11" s="1"/>
  <c r="I733" i="11"/>
  <c r="H733" i="11"/>
  <c r="M732" i="11"/>
  <c r="L732" i="11"/>
  <c r="J732" i="11"/>
  <c r="K732" i="11" s="1"/>
  <c r="I732" i="11"/>
  <c r="H732" i="11"/>
  <c r="M731" i="11"/>
  <c r="L731" i="11"/>
  <c r="J731" i="11"/>
  <c r="K731" i="11" s="1"/>
  <c r="I731" i="11"/>
  <c r="H731" i="11"/>
  <c r="M730" i="11"/>
  <c r="L730" i="11"/>
  <c r="J730" i="11"/>
  <c r="K730" i="11" s="1"/>
  <c r="I730" i="11"/>
  <c r="H730" i="11"/>
  <c r="M729" i="11"/>
  <c r="L729" i="11"/>
  <c r="J729" i="11"/>
  <c r="K729" i="11" s="1"/>
  <c r="I729" i="11"/>
  <c r="H729" i="11"/>
  <c r="M728" i="11"/>
  <c r="L728" i="11"/>
  <c r="J728" i="11"/>
  <c r="K728" i="11" s="1"/>
  <c r="I728" i="11"/>
  <c r="H728" i="11"/>
  <c r="M727" i="11"/>
  <c r="L727" i="11"/>
  <c r="J727" i="11"/>
  <c r="K727" i="11" s="1"/>
  <c r="I727" i="11"/>
  <c r="H727" i="11"/>
  <c r="M726" i="11"/>
  <c r="L726" i="11"/>
  <c r="J726" i="11"/>
  <c r="K726" i="11" s="1"/>
  <c r="I726" i="11"/>
  <c r="H726" i="11"/>
  <c r="M725" i="11"/>
  <c r="L725" i="11"/>
  <c r="J725" i="11"/>
  <c r="K725" i="11" s="1"/>
  <c r="I725" i="11"/>
  <c r="H725" i="11"/>
  <c r="M724" i="11"/>
  <c r="L724" i="11"/>
  <c r="J724" i="11"/>
  <c r="K724" i="11" s="1"/>
  <c r="I724" i="11"/>
  <c r="H724" i="11"/>
  <c r="M723" i="11"/>
  <c r="L723" i="11"/>
  <c r="J723" i="11"/>
  <c r="K723" i="11" s="1"/>
  <c r="I723" i="11"/>
  <c r="H723" i="11"/>
  <c r="M722" i="11"/>
  <c r="L722" i="11"/>
  <c r="J722" i="11"/>
  <c r="K722" i="11" s="1"/>
  <c r="I722" i="11"/>
  <c r="H722" i="11"/>
  <c r="M721" i="11"/>
  <c r="L721" i="11"/>
  <c r="J721" i="11"/>
  <c r="K721" i="11" s="1"/>
  <c r="I721" i="11"/>
  <c r="H721" i="11"/>
  <c r="M720" i="11"/>
  <c r="L720" i="11"/>
  <c r="J720" i="11"/>
  <c r="K720" i="11" s="1"/>
  <c r="I720" i="11"/>
  <c r="H720" i="11"/>
  <c r="M719" i="11"/>
  <c r="L719" i="11"/>
  <c r="J719" i="11"/>
  <c r="K719" i="11" s="1"/>
  <c r="I719" i="11"/>
  <c r="H719" i="11"/>
  <c r="M718" i="11"/>
  <c r="L718" i="11"/>
  <c r="J718" i="11"/>
  <c r="K718" i="11" s="1"/>
  <c r="I718" i="11"/>
  <c r="H718" i="11"/>
  <c r="M717" i="11"/>
  <c r="L717" i="11"/>
  <c r="J717" i="11"/>
  <c r="K717" i="11" s="1"/>
  <c r="I717" i="11"/>
  <c r="H717" i="11"/>
  <c r="M716" i="11"/>
  <c r="L716" i="11"/>
  <c r="J716" i="11"/>
  <c r="K716" i="11" s="1"/>
  <c r="I716" i="11"/>
  <c r="H716" i="11"/>
  <c r="M715" i="11"/>
  <c r="L715" i="11"/>
  <c r="J715" i="11"/>
  <c r="K715" i="11" s="1"/>
  <c r="I715" i="11"/>
  <c r="H715" i="11"/>
  <c r="M714" i="11"/>
  <c r="L714" i="11"/>
  <c r="J714" i="11"/>
  <c r="K714" i="11" s="1"/>
  <c r="I714" i="11"/>
  <c r="H714" i="11"/>
  <c r="M713" i="11"/>
  <c r="L713" i="11"/>
  <c r="J713" i="11"/>
  <c r="K713" i="11" s="1"/>
  <c r="I713" i="11"/>
  <c r="H713" i="11"/>
  <c r="M712" i="11"/>
  <c r="L712" i="11"/>
  <c r="J712" i="11"/>
  <c r="K712" i="11" s="1"/>
  <c r="I712" i="11"/>
  <c r="H712" i="11"/>
  <c r="M711" i="11"/>
  <c r="L711" i="11"/>
  <c r="J711" i="11"/>
  <c r="K711" i="11" s="1"/>
  <c r="I711" i="11"/>
  <c r="H711" i="11"/>
  <c r="M710" i="11"/>
  <c r="L710" i="11"/>
  <c r="J710" i="11"/>
  <c r="K710" i="11" s="1"/>
  <c r="I710" i="11"/>
  <c r="H710" i="11"/>
  <c r="M709" i="11"/>
  <c r="L709" i="11"/>
  <c r="J709" i="11"/>
  <c r="K709" i="11" s="1"/>
  <c r="I709" i="11"/>
  <c r="H709" i="11"/>
  <c r="M708" i="11"/>
  <c r="L708" i="11"/>
  <c r="J708" i="11"/>
  <c r="K708" i="11" s="1"/>
  <c r="I708" i="11"/>
  <c r="H708" i="11"/>
  <c r="M707" i="11"/>
  <c r="L707" i="11"/>
  <c r="J707" i="11"/>
  <c r="K707" i="11" s="1"/>
  <c r="I707" i="11"/>
  <c r="H707" i="11"/>
  <c r="M706" i="11"/>
  <c r="L706" i="11"/>
  <c r="J706" i="11"/>
  <c r="K706" i="11" s="1"/>
  <c r="I706" i="11"/>
  <c r="H706" i="11"/>
  <c r="M705" i="11"/>
  <c r="L705" i="11"/>
  <c r="J705" i="11"/>
  <c r="K705" i="11" s="1"/>
  <c r="I705" i="11"/>
  <c r="H705" i="11"/>
  <c r="M704" i="11"/>
  <c r="L704" i="11"/>
  <c r="J704" i="11"/>
  <c r="K704" i="11" s="1"/>
  <c r="I704" i="11"/>
  <c r="H704" i="11"/>
  <c r="M703" i="11"/>
  <c r="L703" i="11"/>
  <c r="J703" i="11"/>
  <c r="K703" i="11" s="1"/>
  <c r="I703" i="11"/>
  <c r="H703" i="11"/>
  <c r="M702" i="11"/>
  <c r="L702" i="11"/>
  <c r="J702" i="11"/>
  <c r="K702" i="11" s="1"/>
  <c r="I702" i="11"/>
  <c r="H702" i="11"/>
  <c r="M701" i="11"/>
  <c r="L701" i="11"/>
  <c r="J701" i="11"/>
  <c r="K701" i="11" s="1"/>
  <c r="I701" i="11"/>
  <c r="H701" i="11"/>
  <c r="M700" i="11"/>
  <c r="L700" i="11"/>
  <c r="J700" i="11"/>
  <c r="K700" i="11" s="1"/>
  <c r="I700" i="11"/>
  <c r="H700" i="11"/>
  <c r="M699" i="11"/>
  <c r="L699" i="11"/>
  <c r="J699" i="11"/>
  <c r="K699" i="11" s="1"/>
  <c r="I699" i="11"/>
  <c r="H699" i="11"/>
  <c r="M698" i="11"/>
  <c r="L698" i="11"/>
  <c r="J698" i="11"/>
  <c r="K698" i="11" s="1"/>
  <c r="I698" i="11"/>
  <c r="H698" i="11"/>
  <c r="M697" i="11"/>
  <c r="L697" i="11"/>
  <c r="J697" i="11"/>
  <c r="K697" i="11" s="1"/>
  <c r="I697" i="11"/>
  <c r="H697" i="11"/>
  <c r="M696" i="11"/>
  <c r="L696" i="11"/>
  <c r="J696" i="11"/>
  <c r="K696" i="11" s="1"/>
  <c r="I696" i="11"/>
  <c r="H696" i="11"/>
  <c r="M695" i="11"/>
  <c r="L695" i="11"/>
  <c r="J695" i="11"/>
  <c r="K695" i="11" s="1"/>
  <c r="I695" i="11"/>
  <c r="H695" i="11"/>
  <c r="M694" i="11"/>
  <c r="L694" i="11"/>
  <c r="J694" i="11"/>
  <c r="K694" i="11" s="1"/>
  <c r="I694" i="11"/>
  <c r="H694" i="11"/>
  <c r="M693" i="11"/>
  <c r="L693" i="11"/>
  <c r="J693" i="11"/>
  <c r="K693" i="11" s="1"/>
  <c r="I693" i="11"/>
  <c r="H693" i="11"/>
  <c r="M692" i="11"/>
  <c r="L692" i="11"/>
  <c r="J692" i="11"/>
  <c r="K692" i="11" s="1"/>
  <c r="I692" i="11"/>
  <c r="H692" i="11"/>
  <c r="M691" i="11"/>
  <c r="L691" i="11"/>
  <c r="J691" i="11"/>
  <c r="K691" i="11" s="1"/>
  <c r="I691" i="11"/>
  <c r="H691" i="11"/>
  <c r="M690" i="11"/>
  <c r="L690" i="11"/>
  <c r="J690" i="11"/>
  <c r="K690" i="11" s="1"/>
  <c r="I690" i="11"/>
  <c r="H690" i="11"/>
  <c r="M689" i="11"/>
  <c r="L689" i="11"/>
  <c r="J689" i="11"/>
  <c r="K689" i="11" s="1"/>
  <c r="I689" i="11"/>
  <c r="H689" i="11"/>
  <c r="M688" i="11"/>
  <c r="L688" i="11"/>
  <c r="J688" i="11"/>
  <c r="K688" i="11" s="1"/>
  <c r="I688" i="11"/>
  <c r="H688" i="11"/>
  <c r="M687" i="11"/>
  <c r="L687" i="11"/>
  <c r="J687" i="11"/>
  <c r="K687" i="11" s="1"/>
  <c r="I687" i="11"/>
  <c r="H687" i="11"/>
  <c r="M686" i="11"/>
  <c r="L686" i="11"/>
  <c r="J686" i="11"/>
  <c r="K686" i="11" s="1"/>
  <c r="I686" i="11"/>
  <c r="H686" i="11"/>
  <c r="M685" i="11"/>
  <c r="L685" i="11"/>
  <c r="J685" i="11"/>
  <c r="K685" i="11" s="1"/>
  <c r="I685" i="11"/>
  <c r="H685" i="11"/>
  <c r="M684" i="11"/>
  <c r="L684" i="11"/>
  <c r="J684" i="11"/>
  <c r="K684" i="11" s="1"/>
  <c r="I684" i="11"/>
  <c r="H684" i="11"/>
  <c r="M683" i="11"/>
  <c r="L683" i="11"/>
  <c r="J683" i="11"/>
  <c r="K683" i="11" s="1"/>
  <c r="I683" i="11"/>
  <c r="H683" i="11"/>
  <c r="M682" i="11"/>
  <c r="L682" i="11"/>
  <c r="J682" i="11"/>
  <c r="K682" i="11" s="1"/>
  <c r="I682" i="11"/>
  <c r="H682" i="11"/>
  <c r="M681" i="11"/>
  <c r="L681" i="11"/>
  <c r="J681" i="11"/>
  <c r="K681" i="11" s="1"/>
  <c r="I681" i="11"/>
  <c r="H681" i="11"/>
  <c r="M680" i="11"/>
  <c r="L680" i="11"/>
  <c r="J680" i="11"/>
  <c r="K680" i="11" s="1"/>
  <c r="I680" i="11"/>
  <c r="H680" i="11"/>
  <c r="M679" i="11"/>
  <c r="L679" i="11"/>
  <c r="J679" i="11"/>
  <c r="K679" i="11" s="1"/>
  <c r="I679" i="11"/>
  <c r="H679" i="11"/>
  <c r="M678" i="11"/>
  <c r="L678" i="11"/>
  <c r="J678" i="11"/>
  <c r="K678" i="11" s="1"/>
  <c r="I678" i="11"/>
  <c r="H678" i="11"/>
  <c r="M677" i="11"/>
  <c r="L677" i="11"/>
  <c r="J677" i="11"/>
  <c r="K677" i="11" s="1"/>
  <c r="I677" i="11"/>
  <c r="H677" i="11"/>
  <c r="M676" i="11"/>
  <c r="L676" i="11"/>
  <c r="J676" i="11"/>
  <c r="K676" i="11" s="1"/>
  <c r="I676" i="11"/>
  <c r="H676" i="11"/>
  <c r="M675" i="11"/>
  <c r="L675" i="11"/>
  <c r="J675" i="11"/>
  <c r="K675" i="11" s="1"/>
  <c r="I675" i="11"/>
  <c r="H675" i="11"/>
  <c r="M674" i="11"/>
  <c r="L674" i="11"/>
  <c r="J674" i="11"/>
  <c r="K674" i="11" s="1"/>
  <c r="I674" i="11"/>
  <c r="H674" i="11"/>
  <c r="M673" i="11"/>
  <c r="L673" i="11"/>
  <c r="J673" i="11"/>
  <c r="K673" i="11" s="1"/>
  <c r="I673" i="11"/>
  <c r="H673" i="11"/>
  <c r="M672" i="11"/>
  <c r="L672" i="11"/>
  <c r="J672" i="11"/>
  <c r="K672" i="11" s="1"/>
  <c r="I672" i="11"/>
  <c r="H672" i="11"/>
  <c r="M671" i="11"/>
  <c r="L671" i="11"/>
  <c r="J671" i="11"/>
  <c r="K671" i="11" s="1"/>
  <c r="I671" i="11"/>
  <c r="H671" i="11"/>
  <c r="M670" i="11"/>
  <c r="L670" i="11"/>
  <c r="J670" i="11"/>
  <c r="K670" i="11" s="1"/>
  <c r="I670" i="11"/>
  <c r="H670" i="11"/>
  <c r="M669" i="11"/>
  <c r="L669" i="11"/>
  <c r="J669" i="11"/>
  <c r="K669" i="11" s="1"/>
  <c r="I669" i="11"/>
  <c r="H669" i="11"/>
  <c r="M668" i="11"/>
  <c r="L668" i="11"/>
  <c r="J668" i="11"/>
  <c r="K668" i="11" s="1"/>
  <c r="I668" i="11"/>
  <c r="H668" i="11"/>
  <c r="M667" i="11"/>
  <c r="L667" i="11"/>
  <c r="J667" i="11"/>
  <c r="K667" i="11" s="1"/>
  <c r="I667" i="11"/>
  <c r="H667" i="11"/>
  <c r="M666" i="11"/>
  <c r="L666" i="11"/>
  <c r="J666" i="11"/>
  <c r="K666" i="11" s="1"/>
  <c r="I666" i="11"/>
  <c r="H666" i="11"/>
  <c r="M665" i="11"/>
  <c r="L665" i="11"/>
  <c r="J665" i="11"/>
  <c r="K665" i="11" s="1"/>
  <c r="I665" i="11"/>
  <c r="H665" i="11"/>
  <c r="M664" i="11"/>
  <c r="L664" i="11"/>
  <c r="J664" i="11"/>
  <c r="K664" i="11" s="1"/>
  <c r="I664" i="11"/>
  <c r="H664" i="11"/>
  <c r="M663" i="11"/>
  <c r="L663" i="11"/>
  <c r="J663" i="11"/>
  <c r="K663" i="11" s="1"/>
  <c r="I663" i="11"/>
  <c r="H663" i="11"/>
  <c r="M662" i="11"/>
  <c r="L662" i="11"/>
  <c r="J662" i="11"/>
  <c r="K662" i="11" s="1"/>
  <c r="I662" i="11"/>
  <c r="H662" i="11"/>
  <c r="M661" i="11"/>
  <c r="L661" i="11"/>
  <c r="J661" i="11"/>
  <c r="K661" i="11" s="1"/>
  <c r="I661" i="11"/>
  <c r="H661" i="11"/>
  <c r="M660" i="11"/>
  <c r="L660" i="11"/>
  <c r="J660" i="11"/>
  <c r="K660" i="11" s="1"/>
  <c r="I660" i="11"/>
  <c r="H660" i="11"/>
  <c r="M659" i="11"/>
  <c r="L659" i="11"/>
  <c r="J659" i="11"/>
  <c r="K659" i="11" s="1"/>
  <c r="I659" i="11"/>
  <c r="H659" i="11"/>
  <c r="M658" i="11"/>
  <c r="L658" i="11"/>
  <c r="J658" i="11"/>
  <c r="K658" i="11" s="1"/>
  <c r="I658" i="11"/>
  <c r="H658" i="11"/>
  <c r="M657" i="11"/>
  <c r="L657" i="11"/>
  <c r="J657" i="11"/>
  <c r="K657" i="11" s="1"/>
  <c r="I657" i="11"/>
  <c r="H657" i="11"/>
  <c r="M656" i="11"/>
  <c r="L656" i="11"/>
  <c r="J656" i="11"/>
  <c r="K656" i="11" s="1"/>
  <c r="I656" i="11"/>
  <c r="H656" i="11"/>
  <c r="M655" i="11"/>
  <c r="L655" i="11"/>
  <c r="K655" i="11"/>
  <c r="J655" i="11"/>
  <c r="I655" i="11"/>
  <c r="H655" i="11"/>
  <c r="M654" i="11"/>
  <c r="L654" i="11"/>
  <c r="J654" i="11"/>
  <c r="K654" i="11" s="1"/>
  <c r="I654" i="11"/>
  <c r="H654" i="11"/>
  <c r="M653" i="11"/>
  <c r="L653" i="11"/>
  <c r="J653" i="11"/>
  <c r="K653" i="11" s="1"/>
  <c r="I653" i="11"/>
  <c r="H653" i="11"/>
  <c r="M652" i="11"/>
  <c r="L652" i="11"/>
  <c r="J652" i="11"/>
  <c r="K652" i="11" s="1"/>
  <c r="I652" i="11"/>
  <c r="H652" i="11"/>
  <c r="M651" i="11"/>
  <c r="L651" i="11"/>
  <c r="J651" i="11"/>
  <c r="K651" i="11" s="1"/>
  <c r="I651" i="11"/>
  <c r="H651" i="11"/>
  <c r="M650" i="11"/>
  <c r="L650" i="11"/>
  <c r="J650" i="11"/>
  <c r="K650" i="11" s="1"/>
  <c r="I650" i="11"/>
  <c r="H650" i="11"/>
  <c r="M649" i="11"/>
  <c r="L649" i="11"/>
  <c r="J649" i="11"/>
  <c r="K649" i="11" s="1"/>
  <c r="I649" i="11"/>
  <c r="H649" i="11"/>
  <c r="M648" i="11"/>
  <c r="L648" i="11"/>
  <c r="J648" i="11"/>
  <c r="K648" i="11" s="1"/>
  <c r="I648" i="11"/>
  <c r="H648" i="11"/>
  <c r="M647" i="11"/>
  <c r="L647" i="11"/>
  <c r="J647" i="11"/>
  <c r="K647" i="11" s="1"/>
  <c r="I647" i="11"/>
  <c r="H647" i="11"/>
  <c r="M646" i="11"/>
  <c r="L646" i="11"/>
  <c r="J646" i="11"/>
  <c r="K646" i="11" s="1"/>
  <c r="I646" i="11"/>
  <c r="H646" i="11"/>
  <c r="M645" i="11"/>
  <c r="L645" i="11"/>
  <c r="J645" i="11"/>
  <c r="K645" i="11" s="1"/>
  <c r="I645" i="11"/>
  <c r="H645" i="11"/>
  <c r="M644" i="11"/>
  <c r="L644" i="11"/>
  <c r="J644" i="11"/>
  <c r="K644" i="11" s="1"/>
  <c r="I644" i="11"/>
  <c r="H644" i="11"/>
  <c r="M643" i="11"/>
  <c r="L643" i="11"/>
  <c r="J643" i="11"/>
  <c r="K643" i="11" s="1"/>
  <c r="I643" i="11"/>
  <c r="H643" i="11"/>
  <c r="M642" i="11"/>
  <c r="L642" i="11"/>
  <c r="J642" i="11"/>
  <c r="K642" i="11" s="1"/>
  <c r="I642" i="11"/>
  <c r="H642" i="11"/>
  <c r="M641" i="11"/>
  <c r="L641" i="11"/>
  <c r="J641" i="11"/>
  <c r="K641" i="11" s="1"/>
  <c r="I641" i="11"/>
  <c r="H641" i="11"/>
  <c r="M640" i="11"/>
  <c r="L640" i="11"/>
  <c r="J640" i="11"/>
  <c r="K640" i="11" s="1"/>
  <c r="I640" i="11"/>
  <c r="H640" i="11"/>
  <c r="M639" i="11"/>
  <c r="L639" i="11"/>
  <c r="J639" i="11"/>
  <c r="K639" i="11" s="1"/>
  <c r="I639" i="11"/>
  <c r="H639" i="11"/>
  <c r="M638" i="11"/>
  <c r="L638" i="11"/>
  <c r="J638" i="11"/>
  <c r="K638" i="11" s="1"/>
  <c r="I638" i="11"/>
  <c r="H638" i="11"/>
  <c r="M637" i="11"/>
  <c r="L637" i="11"/>
  <c r="J637" i="11"/>
  <c r="K637" i="11" s="1"/>
  <c r="I637" i="11"/>
  <c r="H637" i="11"/>
  <c r="M636" i="11"/>
  <c r="L636" i="11"/>
  <c r="J636" i="11"/>
  <c r="K636" i="11" s="1"/>
  <c r="I636" i="11"/>
  <c r="H636" i="11"/>
  <c r="M635" i="11"/>
  <c r="L635" i="11"/>
  <c r="J635" i="11"/>
  <c r="K635" i="11" s="1"/>
  <c r="I635" i="11"/>
  <c r="H635" i="11"/>
  <c r="M634" i="11"/>
  <c r="L634" i="11"/>
  <c r="J634" i="11"/>
  <c r="K634" i="11" s="1"/>
  <c r="I634" i="11"/>
  <c r="H634" i="11"/>
  <c r="M633" i="11"/>
  <c r="L633" i="11"/>
  <c r="J633" i="11"/>
  <c r="K633" i="11" s="1"/>
  <c r="I633" i="11"/>
  <c r="H633" i="11"/>
  <c r="M632" i="11"/>
  <c r="L632" i="11"/>
  <c r="J632" i="11"/>
  <c r="K632" i="11" s="1"/>
  <c r="I632" i="11"/>
  <c r="H632" i="11"/>
  <c r="M631" i="11"/>
  <c r="L631" i="11"/>
  <c r="J631" i="11"/>
  <c r="K631" i="11" s="1"/>
  <c r="I631" i="11"/>
  <c r="H631" i="11"/>
  <c r="M630" i="11"/>
  <c r="L630" i="11"/>
  <c r="J630" i="11"/>
  <c r="K630" i="11" s="1"/>
  <c r="I630" i="11"/>
  <c r="H630" i="11"/>
  <c r="M629" i="11"/>
  <c r="L629" i="11"/>
  <c r="J629" i="11"/>
  <c r="K629" i="11" s="1"/>
  <c r="I629" i="11"/>
  <c r="H629" i="11"/>
  <c r="M628" i="11"/>
  <c r="L628" i="11"/>
  <c r="J628" i="11"/>
  <c r="K628" i="11" s="1"/>
  <c r="I628" i="11"/>
  <c r="H628" i="11"/>
  <c r="M627" i="11"/>
  <c r="L627" i="11"/>
  <c r="J627" i="11"/>
  <c r="K627" i="11" s="1"/>
  <c r="I627" i="11"/>
  <c r="H627" i="11"/>
  <c r="M626" i="11"/>
  <c r="L626" i="11"/>
  <c r="J626" i="11"/>
  <c r="K626" i="11" s="1"/>
  <c r="I626" i="11"/>
  <c r="H626" i="11"/>
  <c r="M625" i="11"/>
  <c r="L625" i="11"/>
  <c r="J625" i="11"/>
  <c r="K625" i="11" s="1"/>
  <c r="I625" i="11"/>
  <c r="H625" i="11"/>
  <c r="M624" i="11"/>
  <c r="L624" i="11"/>
  <c r="J624" i="11"/>
  <c r="K624" i="11" s="1"/>
  <c r="I624" i="11"/>
  <c r="H624" i="11"/>
  <c r="M623" i="11"/>
  <c r="L623" i="11"/>
  <c r="J623" i="11"/>
  <c r="K623" i="11" s="1"/>
  <c r="I623" i="11"/>
  <c r="H623" i="11"/>
  <c r="M622" i="11"/>
  <c r="L622" i="11"/>
  <c r="J622" i="11"/>
  <c r="K622" i="11" s="1"/>
  <c r="I622" i="11"/>
  <c r="H622" i="11"/>
  <c r="M621" i="11"/>
  <c r="L621" i="11"/>
  <c r="J621" i="11"/>
  <c r="K621" i="11" s="1"/>
  <c r="I621" i="11"/>
  <c r="H621" i="11"/>
  <c r="M620" i="11"/>
  <c r="L620" i="11"/>
  <c r="J620" i="11"/>
  <c r="K620" i="11" s="1"/>
  <c r="I620" i="11"/>
  <c r="H620" i="11"/>
  <c r="M619" i="11"/>
  <c r="L619" i="11"/>
  <c r="J619" i="11"/>
  <c r="K619" i="11" s="1"/>
  <c r="I619" i="11"/>
  <c r="H619" i="11"/>
  <c r="M618" i="11"/>
  <c r="L618" i="11"/>
  <c r="J618" i="11"/>
  <c r="K618" i="11" s="1"/>
  <c r="I618" i="11"/>
  <c r="H618" i="11"/>
  <c r="M617" i="11"/>
  <c r="L617" i="11"/>
  <c r="J617" i="11"/>
  <c r="K617" i="11" s="1"/>
  <c r="I617" i="11"/>
  <c r="H617" i="11"/>
  <c r="M616" i="11"/>
  <c r="L616" i="11"/>
  <c r="J616" i="11"/>
  <c r="K616" i="11" s="1"/>
  <c r="I616" i="11"/>
  <c r="H616" i="11"/>
  <c r="M615" i="11"/>
  <c r="L615" i="11"/>
  <c r="J615" i="11"/>
  <c r="K615" i="11" s="1"/>
  <c r="I615" i="11"/>
  <c r="H615" i="11"/>
  <c r="M614" i="11"/>
  <c r="L614" i="11"/>
  <c r="J614" i="11"/>
  <c r="K614" i="11" s="1"/>
  <c r="I614" i="11"/>
  <c r="H614" i="11"/>
  <c r="M613" i="11"/>
  <c r="L613" i="11"/>
  <c r="J613" i="11"/>
  <c r="K613" i="11" s="1"/>
  <c r="I613" i="11"/>
  <c r="H613" i="11"/>
  <c r="M612" i="11"/>
  <c r="L612" i="11"/>
  <c r="J612" i="11"/>
  <c r="K612" i="11" s="1"/>
  <c r="I612" i="11"/>
  <c r="H612" i="11"/>
  <c r="M611" i="11"/>
  <c r="L611" i="11"/>
  <c r="J611" i="11"/>
  <c r="K611" i="11" s="1"/>
  <c r="I611" i="11"/>
  <c r="H611" i="11"/>
  <c r="M610" i="11"/>
  <c r="L610" i="11"/>
  <c r="J610" i="11"/>
  <c r="K610" i="11" s="1"/>
  <c r="I610" i="11"/>
  <c r="H610" i="11"/>
  <c r="M609" i="11"/>
  <c r="L609" i="11"/>
  <c r="J609" i="11"/>
  <c r="K609" i="11" s="1"/>
  <c r="I609" i="11"/>
  <c r="H609" i="11"/>
  <c r="M608" i="11"/>
  <c r="L608" i="11"/>
  <c r="J608" i="11"/>
  <c r="K608" i="11" s="1"/>
  <c r="I608" i="11"/>
  <c r="H608" i="11"/>
  <c r="M607" i="11"/>
  <c r="L607" i="11"/>
  <c r="J607" i="11"/>
  <c r="K607" i="11" s="1"/>
  <c r="I607" i="11"/>
  <c r="H607" i="11"/>
  <c r="M606" i="11"/>
  <c r="L606" i="11"/>
  <c r="J606" i="11"/>
  <c r="K606" i="11" s="1"/>
  <c r="I606" i="11"/>
  <c r="H606" i="11"/>
  <c r="M605" i="11"/>
  <c r="L605" i="11"/>
  <c r="J605" i="11"/>
  <c r="K605" i="11" s="1"/>
  <c r="I605" i="11"/>
  <c r="H605" i="11"/>
  <c r="M604" i="11"/>
  <c r="L604" i="11"/>
  <c r="J604" i="11"/>
  <c r="K604" i="11" s="1"/>
  <c r="I604" i="11"/>
  <c r="H604" i="11"/>
  <c r="M603" i="11"/>
  <c r="L603" i="11"/>
  <c r="J603" i="11"/>
  <c r="K603" i="11" s="1"/>
  <c r="I603" i="11"/>
  <c r="H603" i="11"/>
  <c r="M602" i="11"/>
  <c r="L602" i="11"/>
  <c r="J602" i="11"/>
  <c r="K602" i="11" s="1"/>
  <c r="I602" i="11"/>
  <c r="H602" i="11"/>
  <c r="M601" i="11"/>
  <c r="L601" i="11"/>
  <c r="J601" i="11"/>
  <c r="K601" i="11" s="1"/>
  <c r="I601" i="11"/>
  <c r="H601" i="11"/>
  <c r="M600" i="11"/>
  <c r="L600" i="11"/>
  <c r="J600" i="11"/>
  <c r="K600" i="11" s="1"/>
  <c r="I600" i="11"/>
  <c r="H600" i="11"/>
  <c r="M599" i="11"/>
  <c r="L599" i="11"/>
  <c r="J599" i="11"/>
  <c r="K599" i="11" s="1"/>
  <c r="I599" i="11"/>
  <c r="H599" i="11"/>
  <c r="M598" i="11"/>
  <c r="L598" i="11"/>
  <c r="J598" i="11"/>
  <c r="K598" i="11" s="1"/>
  <c r="I598" i="11"/>
  <c r="H598" i="11"/>
  <c r="M597" i="11"/>
  <c r="L597" i="11"/>
  <c r="J597" i="11"/>
  <c r="K597" i="11" s="1"/>
  <c r="I597" i="11"/>
  <c r="H597" i="11"/>
  <c r="M596" i="11"/>
  <c r="L596" i="11"/>
  <c r="J596" i="11"/>
  <c r="K596" i="11" s="1"/>
  <c r="I596" i="11"/>
  <c r="H596" i="11"/>
  <c r="M595" i="11"/>
  <c r="L595" i="11"/>
  <c r="J595" i="11"/>
  <c r="K595" i="11" s="1"/>
  <c r="I595" i="11"/>
  <c r="H595" i="11"/>
  <c r="M594" i="11"/>
  <c r="L594" i="11"/>
  <c r="J594" i="11"/>
  <c r="K594" i="11" s="1"/>
  <c r="I594" i="11"/>
  <c r="H594" i="11"/>
  <c r="M593" i="11"/>
  <c r="L593" i="11"/>
  <c r="J593" i="11"/>
  <c r="K593" i="11" s="1"/>
  <c r="I593" i="11"/>
  <c r="H593" i="11"/>
  <c r="M592" i="11"/>
  <c r="L592" i="11"/>
  <c r="J592" i="11"/>
  <c r="K592" i="11" s="1"/>
  <c r="I592" i="11"/>
  <c r="H592" i="11"/>
  <c r="M591" i="11"/>
  <c r="L591" i="11"/>
  <c r="J591" i="11"/>
  <c r="K591" i="11" s="1"/>
  <c r="I591" i="11"/>
  <c r="H591" i="11"/>
  <c r="M590" i="11"/>
  <c r="L590" i="11"/>
  <c r="J590" i="11"/>
  <c r="K590" i="11" s="1"/>
  <c r="I590" i="11"/>
  <c r="H590" i="11"/>
  <c r="M589" i="11"/>
  <c r="L589" i="11"/>
  <c r="J589" i="11"/>
  <c r="K589" i="11" s="1"/>
  <c r="I589" i="11"/>
  <c r="H589" i="11"/>
  <c r="M588" i="11"/>
  <c r="L588" i="11"/>
  <c r="J588" i="11"/>
  <c r="K588" i="11" s="1"/>
  <c r="I588" i="11"/>
  <c r="H588" i="11"/>
  <c r="M587" i="11"/>
  <c r="L587" i="11"/>
  <c r="J587" i="11"/>
  <c r="K587" i="11" s="1"/>
  <c r="I587" i="11"/>
  <c r="H587" i="11"/>
  <c r="M586" i="11"/>
  <c r="L586" i="11"/>
  <c r="J586" i="11"/>
  <c r="K586" i="11" s="1"/>
  <c r="I586" i="11"/>
  <c r="H586" i="11"/>
  <c r="M585" i="11"/>
  <c r="L585" i="11"/>
  <c r="J585" i="11"/>
  <c r="K585" i="11" s="1"/>
  <c r="I585" i="11"/>
  <c r="H585" i="11"/>
  <c r="M584" i="11"/>
  <c r="L584" i="11"/>
  <c r="J584" i="11"/>
  <c r="K584" i="11" s="1"/>
  <c r="I584" i="11"/>
  <c r="H584" i="11"/>
  <c r="M583" i="11"/>
  <c r="L583" i="11"/>
  <c r="J583" i="11"/>
  <c r="K583" i="11" s="1"/>
  <c r="I583" i="11"/>
  <c r="H583" i="11"/>
  <c r="M582" i="11"/>
  <c r="L582" i="11"/>
  <c r="J582" i="11"/>
  <c r="K582" i="11" s="1"/>
  <c r="I582" i="11"/>
  <c r="H582" i="11"/>
  <c r="M581" i="11"/>
  <c r="L581" i="11"/>
  <c r="J581" i="11"/>
  <c r="K581" i="11" s="1"/>
  <c r="I581" i="11"/>
  <c r="H581" i="11"/>
  <c r="M580" i="11"/>
  <c r="L580" i="11"/>
  <c r="J580" i="11"/>
  <c r="K580" i="11" s="1"/>
  <c r="I580" i="11"/>
  <c r="H580" i="11"/>
  <c r="M579" i="11"/>
  <c r="L579" i="11"/>
  <c r="J579" i="11"/>
  <c r="K579" i="11" s="1"/>
  <c r="I579" i="11"/>
  <c r="H579" i="11"/>
  <c r="M578" i="11"/>
  <c r="L578" i="11"/>
  <c r="J578" i="11"/>
  <c r="K578" i="11" s="1"/>
  <c r="I578" i="11"/>
  <c r="H578" i="11"/>
  <c r="M577" i="11"/>
  <c r="L577" i="11"/>
  <c r="J577" i="11"/>
  <c r="K577" i="11" s="1"/>
  <c r="I577" i="11"/>
  <c r="H577" i="11"/>
  <c r="M576" i="11"/>
  <c r="L576" i="11"/>
  <c r="J576" i="11"/>
  <c r="K576" i="11" s="1"/>
  <c r="I576" i="11"/>
  <c r="H576" i="11"/>
  <c r="M575" i="11"/>
  <c r="L575" i="11"/>
  <c r="J575" i="11"/>
  <c r="K575" i="11" s="1"/>
  <c r="I575" i="11"/>
  <c r="H575" i="11"/>
  <c r="M574" i="11"/>
  <c r="L574" i="11"/>
  <c r="J574" i="11"/>
  <c r="K574" i="11" s="1"/>
  <c r="I574" i="11"/>
  <c r="H574" i="11"/>
  <c r="M573" i="11"/>
  <c r="L573" i="11"/>
  <c r="J573" i="11"/>
  <c r="K573" i="11" s="1"/>
  <c r="I573" i="11"/>
  <c r="H573" i="11"/>
  <c r="M572" i="11"/>
  <c r="L572" i="11"/>
  <c r="J572" i="11"/>
  <c r="K572" i="11" s="1"/>
  <c r="I572" i="11"/>
  <c r="H572" i="11"/>
  <c r="M571" i="11"/>
  <c r="L571" i="11"/>
  <c r="J571" i="11"/>
  <c r="K571" i="11" s="1"/>
  <c r="I571" i="11"/>
  <c r="H571" i="11"/>
  <c r="M570" i="11"/>
  <c r="L570" i="11"/>
  <c r="J570" i="11"/>
  <c r="K570" i="11" s="1"/>
  <c r="I570" i="11"/>
  <c r="H570" i="11"/>
  <c r="M569" i="11"/>
  <c r="L569" i="11"/>
  <c r="J569" i="11"/>
  <c r="K569" i="11" s="1"/>
  <c r="I569" i="11"/>
  <c r="H569" i="11"/>
  <c r="M568" i="11"/>
  <c r="L568" i="11"/>
  <c r="J568" i="11"/>
  <c r="K568" i="11" s="1"/>
  <c r="I568" i="11"/>
  <c r="H568" i="11"/>
  <c r="M567" i="11"/>
  <c r="L567" i="11"/>
  <c r="J567" i="11"/>
  <c r="K567" i="11" s="1"/>
  <c r="I567" i="11"/>
  <c r="H567" i="11"/>
  <c r="M566" i="11"/>
  <c r="L566" i="11"/>
  <c r="J566" i="11"/>
  <c r="K566" i="11" s="1"/>
  <c r="I566" i="11"/>
  <c r="H566" i="11"/>
  <c r="M565" i="11"/>
  <c r="L565" i="11"/>
  <c r="J565" i="11"/>
  <c r="K565" i="11" s="1"/>
  <c r="I565" i="11"/>
  <c r="H565" i="11"/>
  <c r="M564" i="11"/>
  <c r="L564" i="11"/>
  <c r="J564" i="11"/>
  <c r="K564" i="11" s="1"/>
  <c r="I564" i="11"/>
  <c r="H564" i="11"/>
  <c r="M563" i="11"/>
  <c r="L563" i="11"/>
  <c r="J563" i="11"/>
  <c r="K563" i="11" s="1"/>
  <c r="I563" i="11"/>
  <c r="H563" i="11"/>
  <c r="M562" i="11"/>
  <c r="L562" i="11"/>
  <c r="J562" i="11"/>
  <c r="K562" i="11" s="1"/>
  <c r="I562" i="11"/>
  <c r="H562" i="11"/>
  <c r="M561" i="11"/>
  <c r="L561" i="11"/>
  <c r="J561" i="11"/>
  <c r="K561" i="11" s="1"/>
  <c r="I561" i="11"/>
  <c r="H561" i="11"/>
  <c r="M560" i="11"/>
  <c r="L560" i="11"/>
  <c r="J560" i="11"/>
  <c r="K560" i="11" s="1"/>
  <c r="I560" i="11"/>
  <c r="H560" i="11"/>
  <c r="M559" i="11"/>
  <c r="L559" i="11"/>
  <c r="J559" i="11"/>
  <c r="K559" i="11" s="1"/>
  <c r="I559" i="11"/>
  <c r="H559" i="11"/>
  <c r="M558" i="11"/>
  <c r="L558" i="11"/>
  <c r="J558" i="11"/>
  <c r="K558" i="11" s="1"/>
  <c r="I558" i="11"/>
  <c r="H558" i="11"/>
  <c r="M557" i="11"/>
  <c r="L557" i="11"/>
  <c r="J557" i="11"/>
  <c r="K557" i="11" s="1"/>
  <c r="I557" i="11"/>
  <c r="H557" i="11"/>
  <c r="M556" i="11"/>
  <c r="L556" i="11"/>
  <c r="J556" i="11"/>
  <c r="K556" i="11" s="1"/>
  <c r="I556" i="11"/>
  <c r="H556" i="11"/>
  <c r="M555" i="11"/>
  <c r="L555" i="11"/>
  <c r="J555" i="11"/>
  <c r="K555" i="11" s="1"/>
  <c r="I555" i="11"/>
  <c r="H555" i="11"/>
  <c r="M554" i="11"/>
  <c r="L554" i="11"/>
  <c r="J554" i="11"/>
  <c r="K554" i="11" s="1"/>
  <c r="I554" i="11"/>
  <c r="H554" i="11"/>
  <c r="M553" i="11"/>
  <c r="L553" i="11"/>
  <c r="J553" i="11"/>
  <c r="K553" i="11" s="1"/>
  <c r="I553" i="11"/>
  <c r="H553" i="11"/>
  <c r="M552" i="11"/>
  <c r="L552" i="11"/>
  <c r="J552" i="11"/>
  <c r="K552" i="11" s="1"/>
  <c r="I552" i="11"/>
  <c r="H552" i="11"/>
  <c r="M551" i="11"/>
  <c r="L551" i="11"/>
  <c r="J551" i="11"/>
  <c r="K551" i="11" s="1"/>
  <c r="I551" i="11"/>
  <c r="H551" i="11"/>
  <c r="M550" i="11"/>
  <c r="L550" i="11"/>
  <c r="J550" i="11"/>
  <c r="K550" i="11" s="1"/>
  <c r="I550" i="11"/>
  <c r="H550" i="11"/>
  <c r="M549" i="11"/>
  <c r="L549" i="11"/>
  <c r="J549" i="11"/>
  <c r="K549" i="11" s="1"/>
  <c r="I549" i="11"/>
  <c r="H549" i="11"/>
  <c r="M548" i="11"/>
  <c r="L548" i="11"/>
  <c r="J548" i="11"/>
  <c r="K548" i="11" s="1"/>
  <c r="I548" i="11"/>
  <c r="H548" i="11"/>
  <c r="M547" i="11"/>
  <c r="L547" i="11"/>
  <c r="J547" i="11"/>
  <c r="K547" i="11" s="1"/>
  <c r="I547" i="11"/>
  <c r="H547" i="11"/>
  <c r="M546" i="11"/>
  <c r="L546" i="11"/>
  <c r="J546" i="11"/>
  <c r="K546" i="11" s="1"/>
  <c r="I546" i="11"/>
  <c r="H546" i="11"/>
  <c r="M545" i="11"/>
  <c r="L545" i="11"/>
  <c r="J545" i="11"/>
  <c r="K545" i="11" s="1"/>
  <c r="I545" i="11"/>
  <c r="H545" i="11"/>
  <c r="M544" i="11"/>
  <c r="L544" i="11"/>
  <c r="J544" i="11"/>
  <c r="K544" i="11" s="1"/>
  <c r="I544" i="11"/>
  <c r="H544" i="11"/>
  <c r="M543" i="11"/>
  <c r="L543" i="11"/>
  <c r="J543" i="11"/>
  <c r="K543" i="11" s="1"/>
  <c r="I543" i="11"/>
  <c r="H543" i="11"/>
  <c r="M542" i="11"/>
  <c r="L542" i="11"/>
  <c r="J542" i="11"/>
  <c r="K542" i="11" s="1"/>
  <c r="I542" i="11"/>
  <c r="H542" i="11"/>
  <c r="M541" i="11"/>
  <c r="L541" i="11"/>
  <c r="J541" i="11"/>
  <c r="K541" i="11" s="1"/>
  <c r="I541" i="11"/>
  <c r="H541" i="11"/>
  <c r="M540" i="11"/>
  <c r="L540" i="11"/>
  <c r="J540" i="11"/>
  <c r="K540" i="11" s="1"/>
  <c r="I540" i="11"/>
  <c r="H540" i="11"/>
  <c r="M539" i="11"/>
  <c r="L539" i="11"/>
  <c r="J539" i="11"/>
  <c r="K539" i="11" s="1"/>
  <c r="I539" i="11"/>
  <c r="H539" i="11"/>
  <c r="M538" i="11"/>
  <c r="L538" i="11"/>
  <c r="J538" i="11"/>
  <c r="K538" i="11" s="1"/>
  <c r="I538" i="11"/>
  <c r="H538" i="11"/>
  <c r="M537" i="11"/>
  <c r="L537" i="11"/>
  <c r="J537" i="11"/>
  <c r="K537" i="11" s="1"/>
  <c r="I537" i="11"/>
  <c r="H537" i="11"/>
  <c r="M536" i="11"/>
  <c r="L536" i="11"/>
  <c r="J536" i="11"/>
  <c r="K536" i="11" s="1"/>
  <c r="I536" i="11"/>
  <c r="H536" i="11"/>
  <c r="M535" i="11"/>
  <c r="L535" i="11"/>
  <c r="J535" i="11"/>
  <c r="K535" i="11" s="1"/>
  <c r="I535" i="11"/>
  <c r="H535" i="11"/>
  <c r="M534" i="11"/>
  <c r="L534" i="11"/>
  <c r="J534" i="11"/>
  <c r="K534" i="11" s="1"/>
  <c r="I534" i="11"/>
  <c r="H534" i="11"/>
  <c r="M533" i="11"/>
  <c r="L533" i="11"/>
  <c r="J533" i="11"/>
  <c r="K533" i="11" s="1"/>
  <c r="I533" i="11"/>
  <c r="H533" i="11"/>
  <c r="M532" i="11"/>
  <c r="L532" i="11"/>
  <c r="J532" i="11"/>
  <c r="K532" i="11" s="1"/>
  <c r="I532" i="11"/>
  <c r="H532" i="11"/>
  <c r="M531" i="11"/>
  <c r="L531" i="11"/>
  <c r="J531" i="11"/>
  <c r="K531" i="11" s="1"/>
  <c r="I531" i="11"/>
  <c r="H531" i="11"/>
  <c r="M530" i="11"/>
  <c r="L530" i="11"/>
  <c r="J530" i="11"/>
  <c r="K530" i="11" s="1"/>
  <c r="I530" i="11"/>
  <c r="H530" i="11"/>
  <c r="M529" i="11"/>
  <c r="L529" i="11"/>
  <c r="J529" i="11"/>
  <c r="K529" i="11" s="1"/>
  <c r="I529" i="11"/>
  <c r="H529" i="11"/>
  <c r="M528" i="11"/>
  <c r="L528" i="11"/>
  <c r="J528" i="11"/>
  <c r="K528" i="11" s="1"/>
  <c r="I528" i="11"/>
  <c r="H528" i="11"/>
  <c r="M527" i="11"/>
  <c r="L527" i="11"/>
  <c r="J527" i="11"/>
  <c r="K527" i="11" s="1"/>
  <c r="I527" i="11"/>
  <c r="H527" i="11"/>
  <c r="M526" i="11"/>
  <c r="L526" i="11"/>
  <c r="J526" i="11"/>
  <c r="K526" i="11" s="1"/>
  <c r="I526" i="11"/>
  <c r="H526" i="11"/>
  <c r="M525" i="11"/>
  <c r="L525" i="11"/>
  <c r="J525" i="11"/>
  <c r="K525" i="11" s="1"/>
  <c r="I525" i="11"/>
  <c r="H525" i="11"/>
  <c r="M524" i="11"/>
  <c r="L524" i="11"/>
  <c r="J524" i="11"/>
  <c r="K524" i="11" s="1"/>
  <c r="I524" i="11"/>
  <c r="H524" i="11"/>
  <c r="M523" i="11"/>
  <c r="L523" i="11"/>
  <c r="J523" i="11"/>
  <c r="K523" i="11" s="1"/>
  <c r="I523" i="11"/>
  <c r="H523" i="11"/>
  <c r="M522" i="11"/>
  <c r="L522" i="11"/>
  <c r="J522" i="11"/>
  <c r="K522" i="11" s="1"/>
  <c r="I522" i="11"/>
  <c r="H522" i="11"/>
  <c r="M521" i="11"/>
  <c r="L521" i="11"/>
  <c r="J521" i="11"/>
  <c r="K521" i="11" s="1"/>
  <c r="I521" i="11"/>
  <c r="H521" i="11"/>
  <c r="M520" i="11"/>
  <c r="L520" i="11"/>
  <c r="J520" i="11"/>
  <c r="K520" i="11" s="1"/>
  <c r="I520" i="11"/>
  <c r="H520" i="11"/>
  <c r="M519" i="11"/>
  <c r="L519" i="11"/>
  <c r="J519" i="11"/>
  <c r="K519" i="11" s="1"/>
  <c r="I519" i="11"/>
  <c r="H519" i="11"/>
  <c r="M518" i="11"/>
  <c r="L518" i="11"/>
  <c r="J518" i="11"/>
  <c r="K518" i="11" s="1"/>
  <c r="I518" i="11"/>
  <c r="H518" i="11"/>
  <c r="M517" i="11"/>
  <c r="L517" i="11"/>
  <c r="J517" i="11"/>
  <c r="K517" i="11" s="1"/>
  <c r="I517" i="11"/>
  <c r="H517" i="11"/>
  <c r="M516" i="11"/>
  <c r="L516" i="11"/>
  <c r="J516" i="11"/>
  <c r="K516" i="11" s="1"/>
  <c r="I516" i="11"/>
  <c r="H516" i="11"/>
  <c r="M515" i="11"/>
  <c r="L515" i="11"/>
  <c r="J515" i="11"/>
  <c r="K515" i="11" s="1"/>
  <c r="I515" i="11"/>
  <c r="H515" i="11"/>
  <c r="M514" i="11"/>
  <c r="L514" i="11"/>
  <c r="J514" i="11"/>
  <c r="K514" i="11" s="1"/>
  <c r="I514" i="11"/>
  <c r="H514" i="11"/>
  <c r="M513" i="11"/>
  <c r="L513" i="11"/>
  <c r="J513" i="11"/>
  <c r="K513" i="11" s="1"/>
  <c r="I513" i="11"/>
  <c r="H513" i="11"/>
  <c r="M512" i="11"/>
  <c r="L512" i="11"/>
  <c r="J512" i="11"/>
  <c r="K512" i="11" s="1"/>
  <c r="I512" i="11"/>
  <c r="H512" i="11"/>
  <c r="M511" i="11"/>
  <c r="L511" i="11"/>
  <c r="J511" i="11"/>
  <c r="K511" i="11" s="1"/>
  <c r="I511" i="11"/>
  <c r="H511" i="11"/>
  <c r="M510" i="11"/>
  <c r="L510" i="11"/>
  <c r="J510" i="11"/>
  <c r="K510" i="11" s="1"/>
  <c r="I510" i="11"/>
  <c r="H510" i="11"/>
  <c r="M509" i="11"/>
  <c r="L509" i="11"/>
  <c r="J509" i="11"/>
  <c r="K509" i="11" s="1"/>
  <c r="I509" i="11"/>
  <c r="H509" i="11"/>
  <c r="M508" i="11"/>
  <c r="L508" i="11"/>
  <c r="J508" i="11"/>
  <c r="K508" i="11" s="1"/>
  <c r="I508" i="11"/>
  <c r="H508" i="11"/>
  <c r="M507" i="11"/>
  <c r="L507" i="11"/>
  <c r="J507" i="11"/>
  <c r="K507" i="11" s="1"/>
  <c r="I507" i="11"/>
  <c r="H507" i="11"/>
  <c r="M506" i="11"/>
  <c r="L506" i="11"/>
  <c r="J506" i="11"/>
  <c r="K506" i="11" s="1"/>
  <c r="I506" i="11"/>
  <c r="H506" i="11"/>
  <c r="M505" i="11"/>
  <c r="L505" i="11"/>
  <c r="J505" i="11"/>
  <c r="K505" i="11" s="1"/>
  <c r="I505" i="11"/>
  <c r="H505" i="11"/>
  <c r="M504" i="11"/>
  <c r="L504" i="11"/>
  <c r="J504" i="11"/>
  <c r="K504" i="11" s="1"/>
  <c r="I504" i="11"/>
  <c r="H504" i="11"/>
  <c r="M503" i="11"/>
  <c r="L503" i="11"/>
  <c r="J503" i="11"/>
  <c r="K503" i="11" s="1"/>
  <c r="I503" i="11"/>
  <c r="H503" i="11"/>
  <c r="M502" i="11"/>
  <c r="L502" i="11"/>
  <c r="J502" i="11"/>
  <c r="K502" i="11" s="1"/>
  <c r="I502" i="11"/>
  <c r="H502" i="11"/>
  <c r="M501" i="11"/>
  <c r="L501" i="11"/>
  <c r="J501" i="11"/>
  <c r="K501" i="11" s="1"/>
  <c r="I501" i="11"/>
  <c r="H501" i="11"/>
  <c r="M500" i="11"/>
  <c r="L500" i="11"/>
  <c r="J500" i="11"/>
  <c r="K500" i="11" s="1"/>
  <c r="I500" i="11"/>
  <c r="H500" i="11"/>
  <c r="M499" i="11"/>
  <c r="L499" i="11"/>
  <c r="J499" i="11"/>
  <c r="K499" i="11" s="1"/>
  <c r="I499" i="11"/>
  <c r="H499" i="11"/>
  <c r="M498" i="11"/>
  <c r="L498" i="11"/>
  <c r="J498" i="11"/>
  <c r="K498" i="11" s="1"/>
  <c r="I498" i="11"/>
  <c r="H498" i="11"/>
  <c r="M497" i="11"/>
  <c r="L497" i="11"/>
  <c r="J497" i="11"/>
  <c r="K497" i="11" s="1"/>
  <c r="I497" i="11"/>
  <c r="H497" i="11"/>
  <c r="M496" i="11"/>
  <c r="L496" i="11"/>
  <c r="J496" i="11"/>
  <c r="K496" i="11" s="1"/>
  <c r="I496" i="11"/>
  <c r="H496" i="11"/>
  <c r="M495" i="11"/>
  <c r="L495" i="11"/>
  <c r="J495" i="11"/>
  <c r="K495" i="11" s="1"/>
  <c r="I495" i="11"/>
  <c r="H495" i="11"/>
  <c r="M494" i="11"/>
  <c r="L494" i="11"/>
  <c r="J494" i="11"/>
  <c r="K494" i="11" s="1"/>
  <c r="I494" i="11"/>
  <c r="H494" i="11"/>
  <c r="M493" i="11"/>
  <c r="L493" i="11"/>
  <c r="J493" i="11"/>
  <c r="K493" i="11" s="1"/>
  <c r="I493" i="11"/>
  <c r="H493" i="11"/>
  <c r="M492" i="11"/>
  <c r="L492" i="11"/>
  <c r="J492" i="11"/>
  <c r="K492" i="11" s="1"/>
  <c r="I492" i="11"/>
  <c r="H492" i="11"/>
  <c r="M491" i="11"/>
  <c r="L491" i="11"/>
  <c r="J491" i="11"/>
  <c r="K491" i="11" s="1"/>
  <c r="I491" i="11"/>
  <c r="H491" i="11"/>
  <c r="M490" i="11"/>
  <c r="L490" i="11"/>
  <c r="J490" i="11"/>
  <c r="K490" i="11" s="1"/>
  <c r="I490" i="11"/>
  <c r="H490" i="11"/>
  <c r="M489" i="11"/>
  <c r="L489" i="11"/>
  <c r="J489" i="11"/>
  <c r="K489" i="11" s="1"/>
  <c r="I489" i="11"/>
  <c r="H489" i="11"/>
  <c r="M488" i="11"/>
  <c r="L488" i="11"/>
  <c r="J488" i="11"/>
  <c r="K488" i="11" s="1"/>
  <c r="I488" i="11"/>
  <c r="H488" i="11"/>
  <c r="M487" i="11"/>
  <c r="L487" i="11"/>
  <c r="J487" i="11"/>
  <c r="K487" i="11" s="1"/>
  <c r="I487" i="11"/>
  <c r="H487" i="11"/>
  <c r="M486" i="11"/>
  <c r="L486" i="11"/>
  <c r="J486" i="11"/>
  <c r="K486" i="11" s="1"/>
  <c r="I486" i="11"/>
  <c r="H486" i="11"/>
  <c r="M485" i="11"/>
  <c r="L485" i="11"/>
  <c r="J485" i="11"/>
  <c r="K485" i="11" s="1"/>
  <c r="I485" i="11"/>
  <c r="H485" i="11"/>
  <c r="M484" i="11"/>
  <c r="L484" i="11"/>
  <c r="J484" i="11"/>
  <c r="K484" i="11" s="1"/>
  <c r="I484" i="11"/>
  <c r="H484" i="11"/>
  <c r="M483" i="11"/>
  <c r="L483" i="11"/>
  <c r="J483" i="11"/>
  <c r="K483" i="11" s="1"/>
  <c r="I483" i="11"/>
  <c r="H483" i="11"/>
  <c r="M482" i="11"/>
  <c r="L482" i="11"/>
  <c r="J482" i="11"/>
  <c r="K482" i="11" s="1"/>
  <c r="I482" i="11"/>
  <c r="H482" i="11"/>
  <c r="M481" i="11"/>
  <c r="L481" i="11"/>
  <c r="J481" i="11"/>
  <c r="K481" i="11" s="1"/>
  <c r="I481" i="11"/>
  <c r="H481" i="11"/>
  <c r="M480" i="11"/>
  <c r="L480" i="11"/>
  <c r="J480" i="11"/>
  <c r="K480" i="11" s="1"/>
  <c r="I480" i="11"/>
  <c r="H480" i="11"/>
  <c r="M479" i="11"/>
  <c r="L479" i="11"/>
  <c r="J479" i="11"/>
  <c r="K479" i="11" s="1"/>
  <c r="I479" i="11"/>
  <c r="H479" i="11"/>
  <c r="M478" i="11"/>
  <c r="L478" i="11"/>
  <c r="J478" i="11"/>
  <c r="K478" i="11" s="1"/>
  <c r="I478" i="11"/>
  <c r="H478" i="11"/>
  <c r="M477" i="11"/>
  <c r="L477" i="11"/>
  <c r="J477" i="11"/>
  <c r="K477" i="11" s="1"/>
  <c r="I477" i="11"/>
  <c r="H477" i="11"/>
  <c r="M476" i="11"/>
  <c r="L476" i="11"/>
  <c r="J476" i="11"/>
  <c r="K476" i="11" s="1"/>
  <c r="I476" i="11"/>
  <c r="H476" i="11"/>
  <c r="M475" i="11"/>
  <c r="L475" i="11"/>
  <c r="J475" i="11"/>
  <c r="K475" i="11" s="1"/>
  <c r="I475" i="11"/>
  <c r="H475" i="11"/>
  <c r="M474" i="11"/>
  <c r="L474" i="11"/>
  <c r="J474" i="11"/>
  <c r="K474" i="11" s="1"/>
  <c r="I474" i="11"/>
  <c r="H474" i="11"/>
  <c r="M473" i="11"/>
  <c r="L473" i="11"/>
  <c r="J473" i="11"/>
  <c r="K473" i="11" s="1"/>
  <c r="I473" i="11"/>
  <c r="H473" i="11"/>
  <c r="M472" i="11"/>
  <c r="L472" i="11"/>
  <c r="J472" i="11"/>
  <c r="K472" i="11" s="1"/>
  <c r="I472" i="11"/>
  <c r="H472" i="11"/>
  <c r="M471" i="11"/>
  <c r="L471" i="11"/>
  <c r="J471" i="11"/>
  <c r="K471" i="11" s="1"/>
  <c r="I471" i="11"/>
  <c r="H471" i="11"/>
  <c r="M470" i="11"/>
  <c r="L470" i="11"/>
  <c r="J470" i="11"/>
  <c r="K470" i="11" s="1"/>
  <c r="I470" i="11"/>
  <c r="H470" i="11"/>
  <c r="M469" i="11"/>
  <c r="L469" i="11"/>
  <c r="J469" i="11"/>
  <c r="K469" i="11" s="1"/>
  <c r="I469" i="11"/>
  <c r="H469" i="11"/>
  <c r="M468" i="11"/>
  <c r="L468" i="11"/>
  <c r="J468" i="11"/>
  <c r="K468" i="11" s="1"/>
  <c r="I468" i="11"/>
  <c r="H468" i="11"/>
  <c r="M467" i="11"/>
  <c r="L467" i="11"/>
  <c r="J467" i="11"/>
  <c r="K467" i="11" s="1"/>
  <c r="I467" i="11"/>
  <c r="H467" i="11"/>
  <c r="M466" i="11"/>
  <c r="L466" i="11"/>
  <c r="J466" i="11"/>
  <c r="K466" i="11" s="1"/>
  <c r="I466" i="11"/>
  <c r="H466" i="11"/>
  <c r="M465" i="11"/>
  <c r="L465" i="11"/>
  <c r="J465" i="11"/>
  <c r="K465" i="11" s="1"/>
  <c r="I465" i="11"/>
  <c r="H465" i="11"/>
  <c r="M464" i="11"/>
  <c r="L464" i="11"/>
  <c r="J464" i="11"/>
  <c r="K464" i="11" s="1"/>
  <c r="I464" i="11"/>
  <c r="H464" i="11"/>
  <c r="M463" i="11"/>
  <c r="L463" i="11"/>
  <c r="J463" i="11"/>
  <c r="K463" i="11" s="1"/>
  <c r="I463" i="11"/>
  <c r="H463" i="11"/>
  <c r="M462" i="11"/>
  <c r="L462" i="11"/>
  <c r="J462" i="11"/>
  <c r="K462" i="11" s="1"/>
  <c r="I462" i="11"/>
  <c r="H462" i="11"/>
  <c r="M461" i="11"/>
  <c r="L461" i="11"/>
  <c r="J461" i="11"/>
  <c r="K461" i="11" s="1"/>
  <c r="I461" i="11"/>
  <c r="H461" i="11"/>
  <c r="M460" i="11"/>
  <c r="L460" i="11"/>
  <c r="J460" i="11"/>
  <c r="K460" i="11" s="1"/>
  <c r="I460" i="11"/>
  <c r="H460" i="11"/>
  <c r="M459" i="11"/>
  <c r="L459" i="11"/>
  <c r="J459" i="11"/>
  <c r="K459" i="11" s="1"/>
  <c r="I459" i="11"/>
  <c r="H459" i="11"/>
  <c r="M458" i="11"/>
  <c r="L458" i="11"/>
  <c r="J458" i="11"/>
  <c r="K458" i="11" s="1"/>
  <c r="I458" i="11"/>
  <c r="H458" i="11"/>
  <c r="M457" i="11"/>
  <c r="L457" i="11"/>
  <c r="J457" i="11"/>
  <c r="K457" i="11" s="1"/>
  <c r="I457" i="11"/>
  <c r="H457" i="11"/>
  <c r="M456" i="11"/>
  <c r="L456" i="11"/>
  <c r="J456" i="11"/>
  <c r="K456" i="11" s="1"/>
  <c r="I456" i="11"/>
  <c r="H456" i="11"/>
  <c r="M455" i="11"/>
  <c r="L455" i="11"/>
  <c r="J455" i="11"/>
  <c r="K455" i="11" s="1"/>
  <c r="I455" i="11"/>
  <c r="H455" i="11"/>
  <c r="M454" i="11"/>
  <c r="L454" i="11"/>
  <c r="J454" i="11"/>
  <c r="K454" i="11" s="1"/>
  <c r="I454" i="11"/>
  <c r="H454" i="11"/>
  <c r="M453" i="11"/>
  <c r="L453" i="11"/>
  <c r="J453" i="11"/>
  <c r="K453" i="11" s="1"/>
  <c r="I453" i="11"/>
  <c r="H453" i="11"/>
  <c r="M452" i="11"/>
  <c r="L452" i="11"/>
  <c r="J452" i="11"/>
  <c r="K452" i="11" s="1"/>
  <c r="I452" i="11"/>
  <c r="H452" i="11"/>
  <c r="M451" i="11"/>
  <c r="L451" i="11"/>
  <c r="J451" i="11"/>
  <c r="K451" i="11" s="1"/>
  <c r="I451" i="11"/>
  <c r="H451" i="11"/>
  <c r="M450" i="11"/>
  <c r="L450" i="11"/>
  <c r="J450" i="11"/>
  <c r="K450" i="11" s="1"/>
  <c r="I450" i="11"/>
  <c r="H450" i="11"/>
  <c r="M449" i="11"/>
  <c r="L449" i="11"/>
  <c r="J449" i="11"/>
  <c r="K449" i="11" s="1"/>
  <c r="I449" i="11"/>
  <c r="H449" i="11"/>
  <c r="M448" i="11"/>
  <c r="L448" i="11"/>
  <c r="J448" i="11"/>
  <c r="K448" i="11" s="1"/>
  <c r="I448" i="11"/>
  <c r="H448" i="11"/>
  <c r="M447" i="11"/>
  <c r="L447" i="11"/>
  <c r="J447" i="11"/>
  <c r="K447" i="11" s="1"/>
  <c r="I447" i="11"/>
  <c r="H447" i="11"/>
  <c r="M446" i="11"/>
  <c r="L446" i="11"/>
  <c r="J446" i="11"/>
  <c r="K446" i="11" s="1"/>
  <c r="I446" i="11"/>
  <c r="H446" i="11"/>
  <c r="M445" i="11"/>
  <c r="L445" i="11"/>
  <c r="J445" i="11"/>
  <c r="K445" i="11" s="1"/>
  <c r="I445" i="11"/>
  <c r="H445" i="11"/>
  <c r="M444" i="11"/>
  <c r="L444" i="11"/>
  <c r="J444" i="11"/>
  <c r="K444" i="11" s="1"/>
  <c r="I444" i="11"/>
  <c r="H444" i="11"/>
  <c r="M443" i="11"/>
  <c r="L443" i="11"/>
  <c r="J443" i="11"/>
  <c r="K443" i="11" s="1"/>
  <c r="I443" i="11"/>
  <c r="H443" i="11"/>
  <c r="M442" i="11"/>
  <c r="L442" i="11"/>
  <c r="J442" i="11"/>
  <c r="K442" i="11" s="1"/>
  <c r="I442" i="11"/>
  <c r="H442" i="11"/>
  <c r="M441" i="11"/>
  <c r="L441" i="11"/>
  <c r="J441" i="11"/>
  <c r="K441" i="11" s="1"/>
  <c r="I441" i="11"/>
  <c r="H441" i="11"/>
  <c r="M440" i="11"/>
  <c r="L440" i="11"/>
  <c r="J440" i="11"/>
  <c r="K440" i="11" s="1"/>
  <c r="I440" i="11"/>
  <c r="H440" i="11"/>
  <c r="M439" i="11"/>
  <c r="L439" i="11"/>
  <c r="J439" i="11"/>
  <c r="K439" i="11" s="1"/>
  <c r="I439" i="11"/>
  <c r="H439" i="11"/>
  <c r="M438" i="11"/>
  <c r="L438" i="11"/>
  <c r="J438" i="11"/>
  <c r="K438" i="11" s="1"/>
  <c r="I438" i="11"/>
  <c r="H438" i="11"/>
  <c r="M437" i="11"/>
  <c r="L437" i="11"/>
  <c r="J437" i="11"/>
  <c r="K437" i="11" s="1"/>
  <c r="I437" i="11"/>
  <c r="H437" i="11"/>
  <c r="M436" i="11"/>
  <c r="L436" i="11"/>
  <c r="J436" i="11"/>
  <c r="K436" i="11" s="1"/>
  <c r="I436" i="11"/>
  <c r="H436" i="11"/>
  <c r="M435" i="11"/>
  <c r="L435" i="11"/>
  <c r="J435" i="11"/>
  <c r="K435" i="11" s="1"/>
  <c r="I435" i="11"/>
  <c r="H435" i="11"/>
  <c r="M434" i="11"/>
  <c r="L434" i="11"/>
  <c r="J434" i="11"/>
  <c r="K434" i="11" s="1"/>
  <c r="I434" i="11"/>
  <c r="H434" i="11"/>
  <c r="M433" i="11"/>
  <c r="L433" i="11"/>
  <c r="J433" i="11"/>
  <c r="K433" i="11" s="1"/>
  <c r="I433" i="11"/>
  <c r="H433" i="11"/>
  <c r="M432" i="11"/>
  <c r="L432" i="11"/>
  <c r="J432" i="11"/>
  <c r="K432" i="11" s="1"/>
  <c r="I432" i="11"/>
  <c r="H432" i="11"/>
  <c r="M431" i="11"/>
  <c r="L431" i="11"/>
  <c r="J431" i="11"/>
  <c r="K431" i="11" s="1"/>
  <c r="I431" i="11"/>
  <c r="H431" i="11"/>
  <c r="M430" i="11"/>
  <c r="L430" i="11"/>
  <c r="J430" i="11"/>
  <c r="K430" i="11" s="1"/>
  <c r="I430" i="11"/>
  <c r="H430" i="11"/>
  <c r="M429" i="11"/>
  <c r="L429" i="11"/>
  <c r="J429" i="11"/>
  <c r="K429" i="11" s="1"/>
  <c r="I429" i="11"/>
  <c r="H429" i="11"/>
  <c r="M428" i="11"/>
  <c r="L428" i="11"/>
  <c r="K428" i="11"/>
  <c r="J428" i="11"/>
  <c r="I428" i="11"/>
  <c r="H428" i="11"/>
  <c r="M427" i="11"/>
  <c r="L427" i="11"/>
  <c r="J427" i="11"/>
  <c r="K427" i="11" s="1"/>
  <c r="I427" i="11"/>
  <c r="H427" i="11"/>
  <c r="M426" i="11"/>
  <c r="L426" i="11"/>
  <c r="J426" i="11"/>
  <c r="K426" i="11" s="1"/>
  <c r="I426" i="11"/>
  <c r="H426" i="11"/>
  <c r="M425" i="11"/>
  <c r="L425" i="11"/>
  <c r="J425" i="11"/>
  <c r="K425" i="11" s="1"/>
  <c r="I425" i="11"/>
  <c r="H425" i="11"/>
  <c r="M424" i="11"/>
  <c r="L424" i="11"/>
  <c r="J424" i="11"/>
  <c r="K424" i="11" s="1"/>
  <c r="I424" i="11"/>
  <c r="H424" i="11"/>
  <c r="M423" i="11"/>
  <c r="L423" i="11"/>
  <c r="J423" i="11"/>
  <c r="K423" i="11" s="1"/>
  <c r="I423" i="11"/>
  <c r="H423" i="11"/>
  <c r="M422" i="11"/>
  <c r="L422" i="11"/>
  <c r="J422" i="11"/>
  <c r="K422" i="11" s="1"/>
  <c r="I422" i="11"/>
  <c r="H422" i="11"/>
  <c r="M421" i="11"/>
  <c r="L421" i="11"/>
  <c r="J421" i="11"/>
  <c r="K421" i="11" s="1"/>
  <c r="I421" i="11"/>
  <c r="H421" i="11"/>
  <c r="M420" i="11"/>
  <c r="L420" i="11"/>
  <c r="J420" i="11"/>
  <c r="K420" i="11" s="1"/>
  <c r="I420" i="11"/>
  <c r="H420" i="11"/>
  <c r="M419" i="11"/>
  <c r="L419" i="11"/>
  <c r="J419" i="11"/>
  <c r="K419" i="11" s="1"/>
  <c r="I419" i="11"/>
  <c r="H419" i="11"/>
  <c r="M418" i="11"/>
  <c r="L418" i="11"/>
  <c r="J418" i="11"/>
  <c r="K418" i="11" s="1"/>
  <c r="I418" i="11"/>
  <c r="H418" i="11"/>
  <c r="M417" i="11"/>
  <c r="L417" i="11"/>
  <c r="J417" i="11"/>
  <c r="K417" i="11" s="1"/>
  <c r="I417" i="11"/>
  <c r="H417" i="11"/>
  <c r="M416" i="11"/>
  <c r="L416" i="11"/>
  <c r="J416" i="11"/>
  <c r="K416" i="11" s="1"/>
  <c r="I416" i="11"/>
  <c r="H416" i="11"/>
  <c r="M415" i="11"/>
  <c r="L415" i="11"/>
  <c r="J415" i="11"/>
  <c r="K415" i="11" s="1"/>
  <c r="I415" i="11"/>
  <c r="H415" i="11"/>
  <c r="M414" i="11"/>
  <c r="L414" i="11"/>
  <c r="J414" i="11"/>
  <c r="K414" i="11" s="1"/>
  <c r="I414" i="11"/>
  <c r="H414" i="11"/>
  <c r="M413" i="11"/>
  <c r="L413" i="11"/>
  <c r="J413" i="11"/>
  <c r="K413" i="11" s="1"/>
  <c r="I413" i="11"/>
  <c r="H413" i="11"/>
  <c r="M412" i="11"/>
  <c r="L412" i="11"/>
  <c r="J412" i="11"/>
  <c r="K412" i="11" s="1"/>
  <c r="I412" i="11"/>
  <c r="H412" i="11"/>
  <c r="M411" i="11"/>
  <c r="L411" i="11"/>
  <c r="J411" i="11"/>
  <c r="K411" i="11" s="1"/>
  <c r="I411" i="11"/>
  <c r="H411" i="11"/>
  <c r="M410" i="11"/>
  <c r="L410" i="11"/>
  <c r="J410" i="11"/>
  <c r="K410" i="11" s="1"/>
  <c r="I410" i="11"/>
  <c r="H410" i="11"/>
  <c r="M409" i="11"/>
  <c r="L409" i="11"/>
  <c r="J409" i="11"/>
  <c r="K409" i="11" s="1"/>
  <c r="I409" i="11"/>
  <c r="H409" i="11"/>
  <c r="M408" i="11"/>
  <c r="L408" i="11"/>
  <c r="J408" i="11"/>
  <c r="K408" i="11" s="1"/>
  <c r="I408" i="11"/>
  <c r="H408" i="11"/>
  <c r="M407" i="11"/>
  <c r="L407" i="11"/>
  <c r="J407" i="11"/>
  <c r="K407" i="11" s="1"/>
  <c r="I407" i="11"/>
  <c r="H407" i="11"/>
  <c r="M406" i="11"/>
  <c r="L406" i="11"/>
  <c r="J406" i="11"/>
  <c r="K406" i="11" s="1"/>
  <c r="I406" i="11"/>
  <c r="H406" i="11"/>
  <c r="M405" i="11"/>
  <c r="L405" i="11"/>
  <c r="J405" i="11"/>
  <c r="K405" i="11" s="1"/>
  <c r="I405" i="11"/>
  <c r="H405" i="11"/>
  <c r="M404" i="11"/>
  <c r="L404" i="11"/>
  <c r="J404" i="11"/>
  <c r="K404" i="11" s="1"/>
  <c r="I404" i="11"/>
  <c r="H404" i="11"/>
  <c r="M403" i="11"/>
  <c r="L403" i="11"/>
  <c r="J403" i="11"/>
  <c r="K403" i="11" s="1"/>
  <c r="I403" i="11"/>
  <c r="H403" i="11"/>
  <c r="M402" i="11"/>
  <c r="L402" i="11"/>
  <c r="J402" i="11"/>
  <c r="K402" i="11" s="1"/>
  <c r="I402" i="11"/>
  <c r="H402" i="11"/>
  <c r="M401" i="11"/>
  <c r="L401" i="11"/>
  <c r="J401" i="11"/>
  <c r="K401" i="11" s="1"/>
  <c r="I401" i="11"/>
  <c r="H401" i="11"/>
  <c r="M400" i="11"/>
  <c r="L400" i="11"/>
  <c r="J400" i="11"/>
  <c r="K400" i="11" s="1"/>
  <c r="I400" i="11"/>
  <c r="H400" i="11"/>
  <c r="M399" i="11"/>
  <c r="L399" i="11"/>
  <c r="J399" i="11"/>
  <c r="K399" i="11" s="1"/>
  <c r="I399" i="11"/>
  <c r="H399" i="11"/>
  <c r="M398" i="11"/>
  <c r="L398" i="11"/>
  <c r="J398" i="11"/>
  <c r="K398" i="11" s="1"/>
  <c r="I398" i="11"/>
  <c r="H398" i="11"/>
  <c r="M397" i="11"/>
  <c r="L397" i="11"/>
  <c r="J397" i="11"/>
  <c r="K397" i="11" s="1"/>
  <c r="I397" i="11"/>
  <c r="H397" i="11"/>
  <c r="M396" i="11"/>
  <c r="L396" i="11"/>
  <c r="J396" i="11"/>
  <c r="K396" i="11" s="1"/>
  <c r="I396" i="11"/>
  <c r="H396" i="11"/>
  <c r="M395" i="11"/>
  <c r="L395" i="11"/>
  <c r="J395" i="11"/>
  <c r="K395" i="11" s="1"/>
  <c r="I395" i="11"/>
  <c r="H395" i="11"/>
  <c r="M394" i="11"/>
  <c r="L394" i="11"/>
  <c r="J394" i="11"/>
  <c r="K394" i="11" s="1"/>
  <c r="I394" i="11"/>
  <c r="H394" i="11"/>
  <c r="M393" i="11"/>
  <c r="L393" i="11"/>
  <c r="J393" i="11"/>
  <c r="K393" i="11" s="1"/>
  <c r="I393" i="11"/>
  <c r="H393" i="11"/>
  <c r="M392" i="11"/>
  <c r="L392" i="11"/>
  <c r="J392" i="11"/>
  <c r="K392" i="11" s="1"/>
  <c r="I392" i="11"/>
  <c r="H392" i="11"/>
  <c r="M391" i="11"/>
  <c r="L391" i="11"/>
  <c r="J391" i="11"/>
  <c r="K391" i="11" s="1"/>
  <c r="I391" i="11"/>
  <c r="H391" i="11"/>
  <c r="M390" i="11"/>
  <c r="L390" i="11"/>
  <c r="J390" i="11"/>
  <c r="K390" i="11" s="1"/>
  <c r="I390" i="11"/>
  <c r="H390" i="11"/>
  <c r="M389" i="11"/>
  <c r="L389" i="11"/>
  <c r="J389" i="11"/>
  <c r="K389" i="11" s="1"/>
  <c r="I389" i="11"/>
  <c r="H389" i="11"/>
  <c r="M388" i="11"/>
  <c r="L388" i="11"/>
  <c r="J388" i="11"/>
  <c r="K388" i="11" s="1"/>
  <c r="I388" i="11"/>
  <c r="H388" i="11"/>
  <c r="M387" i="11"/>
  <c r="L387" i="11"/>
  <c r="J387" i="11"/>
  <c r="K387" i="11" s="1"/>
  <c r="I387" i="11"/>
  <c r="H387" i="11"/>
  <c r="M386" i="11"/>
  <c r="L386" i="11"/>
  <c r="J386" i="11"/>
  <c r="K386" i="11" s="1"/>
  <c r="I386" i="11"/>
  <c r="H386" i="11"/>
  <c r="M385" i="11"/>
  <c r="L385" i="11"/>
  <c r="J385" i="11"/>
  <c r="K385" i="11" s="1"/>
  <c r="I385" i="11"/>
  <c r="H385" i="11"/>
  <c r="M384" i="11"/>
  <c r="L384" i="11"/>
  <c r="J384" i="11"/>
  <c r="K384" i="11" s="1"/>
  <c r="I384" i="11"/>
  <c r="H384" i="11"/>
  <c r="M383" i="11"/>
  <c r="L383" i="11"/>
  <c r="J383" i="11"/>
  <c r="K383" i="11" s="1"/>
  <c r="I383" i="11"/>
  <c r="H383" i="11"/>
  <c r="M382" i="11"/>
  <c r="L382" i="11"/>
  <c r="J382" i="11"/>
  <c r="K382" i="11" s="1"/>
  <c r="I382" i="11"/>
  <c r="H382" i="11"/>
  <c r="M381" i="11"/>
  <c r="L381" i="11"/>
  <c r="J381" i="11"/>
  <c r="K381" i="11" s="1"/>
  <c r="I381" i="11"/>
  <c r="H381" i="11"/>
  <c r="M380" i="11"/>
  <c r="L380" i="11"/>
  <c r="J380" i="11"/>
  <c r="K380" i="11" s="1"/>
  <c r="I380" i="11"/>
  <c r="H380" i="11"/>
  <c r="M379" i="11"/>
  <c r="L379" i="11"/>
  <c r="J379" i="11"/>
  <c r="K379" i="11" s="1"/>
  <c r="I379" i="11"/>
  <c r="H379" i="11"/>
  <c r="M378" i="11"/>
  <c r="L378" i="11"/>
  <c r="J378" i="11"/>
  <c r="K378" i="11" s="1"/>
  <c r="I378" i="11"/>
  <c r="H378" i="11"/>
  <c r="M377" i="11"/>
  <c r="L377" i="11"/>
  <c r="J377" i="11"/>
  <c r="K377" i="11" s="1"/>
  <c r="I377" i="11"/>
  <c r="H377" i="11"/>
  <c r="M376" i="11"/>
  <c r="L376" i="11"/>
  <c r="J376" i="11"/>
  <c r="K376" i="11" s="1"/>
  <c r="I376" i="11"/>
  <c r="H376" i="11"/>
  <c r="M375" i="11"/>
  <c r="L375" i="11"/>
  <c r="J375" i="11"/>
  <c r="K375" i="11" s="1"/>
  <c r="I375" i="11"/>
  <c r="H375" i="11"/>
  <c r="M374" i="11"/>
  <c r="L374" i="11"/>
  <c r="J374" i="11"/>
  <c r="K374" i="11" s="1"/>
  <c r="I374" i="11"/>
  <c r="H374" i="11"/>
  <c r="M373" i="11"/>
  <c r="L373" i="11"/>
  <c r="J373" i="11"/>
  <c r="K373" i="11" s="1"/>
  <c r="I373" i="11"/>
  <c r="H373" i="11"/>
  <c r="M372" i="11"/>
  <c r="L372" i="11"/>
  <c r="J372" i="11"/>
  <c r="K372" i="11" s="1"/>
  <c r="I372" i="11"/>
  <c r="H372" i="11"/>
  <c r="M371" i="11"/>
  <c r="L371" i="11"/>
  <c r="J371" i="11"/>
  <c r="K371" i="11" s="1"/>
  <c r="I371" i="11"/>
  <c r="H371" i="11"/>
  <c r="M370" i="11"/>
  <c r="L370" i="11"/>
  <c r="J370" i="11"/>
  <c r="K370" i="11" s="1"/>
  <c r="I370" i="11"/>
  <c r="H370" i="11"/>
  <c r="M369" i="11"/>
  <c r="L369" i="11"/>
  <c r="J369" i="11"/>
  <c r="K369" i="11" s="1"/>
  <c r="I369" i="11"/>
  <c r="H369" i="11"/>
  <c r="M368" i="11"/>
  <c r="L368" i="11"/>
  <c r="J368" i="11"/>
  <c r="K368" i="11" s="1"/>
  <c r="I368" i="11"/>
  <c r="H368" i="11"/>
  <c r="M367" i="11"/>
  <c r="L367" i="11"/>
  <c r="J367" i="11"/>
  <c r="K367" i="11" s="1"/>
  <c r="I367" i="11"/>
  <c r="H367" i="11"/>
  <c r="M366" i="11"/>
  <c r="L366" i="11"/>
  <c r="J366" i="11"/>
  <c r="K366" i="11" s="1"/>
  <c r="I366" i="11"/>
  <c r="H366" i="11"/>
  <c r="M365" i="11"/>
  <c r="L365" i="11"/>
  <c r="J365" i="11"/>
  <c r="K365" i="11" s="1"/>
  <c r="I365" i="11"/>
  <c r="H365" i="11"/>
  <c r="M364" i="11"/>
  <c r="L364" i="11"/>
  <c r="J364" i="11"/>
  <c r="K364" i="11" s="1"/>
  <c r="I364" i="11"/>
  <c r="H364" i="11"/>
  <c r="M363" i="11"/>
  <c r="L363" i="11"/>
  <c r="J363" i="11"/>
  <c r="K363" i="11" s="1"/>
  <c r="I363" i="11"/>
  <c r="H363" i="11"/>
  <c r="M362" i="11"/>
  <c r="L362" i="11"/>
  <c r="J362" i="11"/>
  <c r="K362" i="11" s="1"/>
  <c r="I362" i="11"/>
  <c r="H362" i="11"/>
  <c r="M361" i="11"/>
  <c r="L361" i="11"/>
  <c r="J361" i="11"/>
  <c r="K361" i="11" s="1"/>
  <c r="I361" i="11"/>
  <c r="H361" i="11"/>
  <c r="M360" i="11"/>
  <c r="L360" i="11"/>
  <c r="J360" i="11"/>
  <c r="K360" i="11" s="1"/>
  <c r="I360" i="11"/>
  <c r="H360" i="11"/>
  <c r="M359" i="11"/>
  <c r="L359" i="11"/>
  <c r="J359" i="11"/>
  <c r="K359" i="11" s="1"/>
  <c r="I359" i="11"/>
  <c r="H359" i="11"/>
  <c r="M358" i="11"/>
  <c r="L358" i="11"/>
  <c r="J358" i="11"/>
  <c r="K358" i="11" s="1"/>
  <c r="I358" i="11"/>
  <c r="H358" i="11"/>
  <c r="M357" i="11"/>
  <c r="L357" i="11"/>
  <c r="J357" i="11"/>
  <c r="K357" i="11" s="1"/>
  <c r="I357" i="11"/>
  <c r="H357" i="11"/>
  <c r="M356" i="11"/>
  <c r="L356" i="11"/>
  <c r="J356" i="11"/>
  <c r="K356" i="11" s="1"/>
  <c r="I356" i="11"/>
  <c r="H356" i="11"/>
  <c r="M355" i="11"/>
  <c r="L355" i="11"/>
  <c r="J355" i="11"/>
  <c r="K355" i="11" s="1"/>
  <c r="I355" i="11"/>
  <c r="H355" i="11"/>
  <c r="M354" i="11"/>
  <c r="L354" i="11"/>
  <c r="J354" i="11"/>
  <c r="K354" i="11" s="1"/>
  <c r="I354" i="11"/>
  <c r="H354" i="11"/>
  <c r="M353" i="11"/>
  <c r="L353" i="11"/>
  <c r="J353" i="11"/>
  <c r="K353" i="11" s="1"/>
  <c r="I353" i="11"/>
  <c r="H353" i="11"/>
  <c r="M352" i="11"/>
  <c r="L352" i="11"/>
  <c r="J352" i="11"/>
  <c r="K352" i="11" s="1"/>
  <c r="I352" i="11"/>
  <c r="H352" i="11"/>
  <c r="M351" i="11"/>
  <c r="L351" i="11"/>
  <c r="J351" i="11"/>
  <c r="K351" i="11" s="1"/>
  <c r="I351" i="11"/>
  <c r="H351" i="11"/>
  <c r="M350" i="11"/>
  <c r="L350" i="11"/>
  <c r="J350" i="11"/>
  <c r="K350" i="11" s="1"/>
  <c r="I350" i="11"/>
  <c r="H350" i="11"/>
  <c r="M349" i="11"/>
  <c r="L349" i="11"/>
  <c r="J349" i="11"/>
  <c r="K349" i="11" s="1"/>
  <c r="I349" i="11"/>
  <c r="H349" i="11"/>
  <c r="M348" i="11"/>
  <c r="L348" i="11"/>
  <c r="J348" i="11"/>
  <c r="K348" i="11" s="1"/>
  <c r="I348" i="11"/>
  <c r="H348" i="11"/>
  <c r="M347" i="11"/>
  <c r="L347" i="11"/>
  <c r="J347" i="11"/>
  <c r="K347" i="11" s="1"/>
  <c r="I347" i="11"/>
  <c r="H347" i="11"/>
  <c r="M346" i="11"/>
  <c r="L346" i="11"/>
  <c r="J346" i="11"/>
  <c r="K346" i="11" s="1"/>
  <c r="I346" i="11"/>
  <c r="H346" i="11"/>
  <c r="M345" i="11"/>
  <c r="L345" i="11"/>
  <c r="J345" i="11"/>
  <c r="K345" i="11" s="1"/>
  <c r="I345" i="11"/>
  <c r="H345" i="11"/>
  <c r="M344" i="11"/>
  <c r="L344" i="11"/>
  <c r="J344" i="11"/>
  <c r="K344" i="11" s="1"/>
  <c r="I344" i="11"/>
  <c r="H344" i="11"/>
  <c r="M343" i="11"/>
  <c r="L343" i="11"/>
  <c r="J343" i="11"/>
  <c r="K343" i="11" s="1"/>
  <c r="I343" i="11"/>
  <c r="H343" i="11"/>
  <c r="M342" i="11"/>
  <c r="L342" i="11"/>
  <c r="J342" i="11"/>
  <c r="K342" i="11" s="1"/>
  <c r="I342" i="11"/>
  <c r="H342" i="11"/>
  <c r="M341" i="11"/>
  <c r="L341" i="11"/>
  <c r="J341" i="11"/>
  <c r="K341" i="11" s="1"/>
  <c r="I341" i="11"/>
  <c r="H341" i="11"/>
  <c r="M340" i="11"/>
  <c r="L340" i="11"/>
  <c r="J340" i="11"/>
  <c r="K340" i="11" s="1"/>
  <c r="I340" i="11"/>
  <c r="H340" i="11"/>
  <c r="M339" i="11"/>
  <c r="L339" i="11"/>
  <c r="J339" i="11"/>
  <c r="K339" i="11" s="1"/>
  <c r="I339" i="11"/>
  <c r="H339" i="11"/>
  <c r="M338" i="11"/>
  <c r="L338" i="11"/>
  <c r="J338" i="11"/>
  <c r="K338" i="11" s="1"/>
  <c r="I338" i="11"/>
  <c r="H338" i="11"/>
  <c r="M337" i="11"/>
  <c r="L337" i="11"/>
  <c r="J337" i="11"/>
  <c r="K337" i="11" s="1"/>
  <c r="I337" i="11"/>
  <c r="H337" i="11"/>
  <c r="M336" i="11"/>
  <c r="L336" i="11"/>
  <c r="J336" i="11"/>
  <c r="K336" i="11" s="1"/>
  <c r="I336" i="11"/>
  <c r="H336" i="11"/>
  <c r="M335" i="11"/>
  <c r="L335" i="11"/>
  <c r="J335" i="11"/>
  <c r="K335" i="11" s="1"/>
  <c r="I335" i="11"/>
  <c r="H335" i="11"/>
  <c r="M334" i="11"/>
  <c r="L334" i="11"/>
  <c r="J334" i="11"/>
  <c r="K334" i="11" s="1"/>
  <c r="I334" i="11"/>
  <c r="H334" i="11"/>
  <c r="M333" i="11"/>
  <c r="L333" i="11"/>
  <c r="J333" i="11"/>
  <c r="K333" i="11" s="1"/>
  <c r="I333" i="11"/>
  <c r="H333" i="11"/>
  <c r="M332" i="11"/>
  <c r="L332" i="11"/>
  <c r="J332" i="11"/>
  <c r="K332" i="11" s="1"/>
  <c r="I332" i="11"/>
  <c r="H332" i="11"/>
  <c r="M331" i="11"/>
  <c r="L331" i="11"/>
  <c r="J331" i="11"/>
  <c r="K331" i="11" s="1"/>
  <c r="I331" i="11"/>
  <c r="H331" i="11"/>
  <c r="M330" i="11"/>
  <c r="L330" i="11"/>
  <c r="J330" i="11"/>
  <c r="K330" i="11" s="1"/>
  <c r="I330" i="11"/>
  <c r="H330" i="11"/>
  <c r="M329" i="11"/>
  <c r="L329" i="11"/>
  <c r="J329" i="11"/>
  <c r="K329" i="11" s="1"/>
  <c r="I329" i="11"/>
  <c r="H329" i="11"/>
  <c r="M328" i="11"/>
  <c r="L328" i="11"/>
  <c r="J328" i="11"/>
  <c r="K328" i="11" s="1"/>
  <c r="I328" i="11"/>
  <c r="H328" i="11"/>
  <c r="M327" i="11"/>
  <c r="L327" i="11"/>
  <c r="J327" i="11"/>
  <c r="K327" i="11" s="1"/>
  <c r="I327" i="11"/>
  <c r="H327" i="11"/>
  <c r="M326" i="11"/>
  <c r="L326" i="11"/>
  <c r="J326" i="11"/>
  <c r="K326" i="11" s="1"/>
  <c r="I326" i="11"/>
  <c r="H326" i="11"/>
  <c r="M325" i="11"/>
  <c r="L325" i="11"/>
  <c r="J325" i="11"/>
  <c r="K325" i="11" s="1"/>
  <c r="I325" i="11"/>
  <c r="H325" i="11"/>
  <c r="M324" i="11"/>
  <c r="L324" i="11"/>
  <c r="J324" i="11"/>
  <c r="K324" i="11" s="1"/>
  <c r="I324" i="11"/>
  <c r="H324" i="11"/>
  <c r="M323" i="11"/>
  <c r="L323" i="11"/>
  <c r="J323" i="11"/>
  <c r="K323" i="11" s="1"/>
  <c r="I323" i="11"/>
  <c r="H323" i="11"/>
  <c r="M322" i="11"/>
  <c r="L322" i="11"/>
  <c r="J322" i="11"/>
  <c r="K322" i="11" s="1"/>
  <c r="I322" i="11"/>
  <c r="H322" i="11"/>
  <c r="M321" i="11"/>
  <c r="L321" i="11"/>
  <c r="J321" i="11"/>
  <c r="K321" i="11" s="1"/>
  <c r="I321" i="11"/>
  <c r="H321" i="11"/>
  <c r="M320" i="11"/>
  <c r="L320" i="11"/>
  <c r="J320" i="11"/>
  <c r="K320" i="11" s="1"/>
  <c r="I320" i="11"/>
  <c r="H320" i="11"/>
  <c r="M319" i="11"/>
  <c r="L319" i="11"/>
  <c r="J319" i="11"/>
  <c r="K319" i="11" s="1"/>
  <c r="I319" i="11"/>
  <c r="H319" i="11"/>
  <c r="M318" i="11"/>
  <c r="L318" i="11"/>
  <c r="J318" i="11"/>
  <c r="K318" i="11" s="1"/>
  <c r="I318" i="11"/>
  <c r="H318" i="11"/>
  <c r="M317" i="11"/>
  <c r="L317" i="11"/>
  <c r="J317" i="11"/>
  <c r="K317" i="11" s="1"/>
  <c r="I317" i="11"/>
  <c r="H317" i="11"/>
  <c r="M316" i="11"/>
  <c r="L316" i="11"/>
  <c r="J316" i="11"/>
  <c r="K316" i="11" s="1"/>
  <c r="I316" i="11"/>
  <c r="H316" i="11"/>
  <c r="M315" i="11"/>
  <c r="L315" i="11"/>
  <c r="J315" i="11"/>
  <c r="K315" i="11" s="1"/>
  <c r="I315" i="11"/>
  <c r="H315" i="11"/>
  <c r="M314" i="11"/>
  <c r="L314" i="11"/>
  <c r="J314" i="11"/>
  <c r="K314" i="11" s="1"/>
  <c r="I314" i="11"/>
  <c r="H314" i="11"/>
  <c r="M313" i="11"/>
  <c r="L313" i="11"/>
  <c r="J313" i="11"/>
  <c r="K313" i="11" s="1"/>
  <c r="I313" i="11"/>
  <c r="H313" i="11"/>
  <c r="M312" i="11"/>
  <c r="L312" i="11"/>
  <c r="J312" i="11"/>
  <c r="K312" i="11" s="1"/>
  <c r="I312" i="11"/>
  <c r="H312" i="11"/>
  <c r="M311" i="11"/>
  <c r="L311" i="11"/>
  <c r="J311" i="11"/>
  <c r="K311" i="11" s="1"/>
  <c r="I311" i="11"/>
  <c r="H311" i="11"/>
  <c r="M310" i="11"/>
  <c r="L310" i="11"/>
  <c r="J310" i="11"/>
  <c r="K310" i="11" s="1"/>
  <c r="I310" i="11"/>
  <c r="H310" i="11"/>
  <c r="M309" i="11"/>
  <c r="L309" i="11"/>
  <c r="J309" i="11"/>
  <c r="K309" i="11" s="1"/>
  <c r="I309" i="11"/>
  <c r="H309" i="11"/>
  <c r="M308" i="11"/>
  <c r="L308" i="11"/>
  <c r="J308" i="11"/>
  <c r="K308" i="11" s="1"/>
  <c r="I308" i="11"/>
  <c r="H308" i="11"/>
  <c r="M307" i="11"/>
  <c r="L307" i="11"/>
  <c r="J307" i="11"/>
  <c r="K307" i="11" s="1"/>
  <c r="I307" i="11"/>
  <c r="H307" i="11"/>
  <c r="M306" i="11"/>
  <c r="L306" i="11"/>
  <c r="J306" i="11"/>
  <c r="K306" i="11" s="1"/>
  <c r="I306" i="11"/>
  <c r="H306" i="11"/>
  <c r="M305" i="11"/>
  <c r="L305" i="11"/>
  <c r="J305" i="11"/>
  <c r="K305" i="11" s="1"/>
  <c r="I305" i="11"/>
  <c r="H305" i="11"/>
  <c r="M304" i="11"/>
  <c r="L304" i="11"/>
  <c r="J304" i="11"/>
  <c r="K304" i="11" s="1"/>
  <c r="I304" i="11"/>
  <c r="H304" i="11"/>
  <c r="M303" i="11"/>
  <c r="L303" i="11"/>
  <c r="J303" i="11"/>
  <c r="K303" i="11" s="1"/>
  <c r="I303" i="11"/>
  <c r="H303" i="11"/>
  <c r="M302" i="11"/>
  <c r="L302" i="11"/>
  <c r="J302" i="11"/>
  <c r="K302" i="11" s="1"/>
  <c r="I302" i="11"/>
  <c r="H302" i="11"/>
  <c r="M301" i="11"/>
  <c r="L301" i="11"/>
  <c r="J301" i="11"/>
  <c r="K301" i="11" s="1"/>
  <c r="I301" i="11"/>
  <c r="H301" i="11"/>
  <c r="M300" i="11"/>
  <c r="L300" i="11"/>
  <c r="J300" i="11"/>
  <c r="K300" i="11" s="1"/>
  <c r="I300" i="11"/>
  <c r="H300" i="11"/>
  <c r="M299" i="11"/>
  <c r="L299" i="11"/>
  <c r="J299" i="11"/>
  <c r="K299" i="11" s="1"/>
  <c r="I299" i="11"/>
  <c r="H299" i="11"/>
  <c r="M298" i="11"/>
  <c r="L298" i="11"/>
  <c r="J298" i="11"/>
  <c r="K298" i="11" s="1"/>
  <c r="I298" i="11"/>
  <c r="H298" i="11"/>
  <c r="M297" i="11"/>
  <c r="L297" i="11"/>
  <c r="J297" i="11"/>
  <c r="K297" i="11" s="1"/>
  <c r="I297" i="11"/>
  <c r="H297" i="11"/>
  <c r="M296" i="11"/>
  <c r="L296" i="11"/>
  <c r="J296" i="11"/>
  <c r="K296" i="11" s="1"/>
  <c r="I296" i="11"/>
  <c r="H296" i="11"/>
  <c r="M295" i="11"/>
  <c r="L295" i="11"/>
  <c r="J295" i="11"/>
  <c r="K295" i="11" s="1"/>
  <c r="I295" i="11"/>
  <c r="H295" i="11"/>
  <c r="M294" i="11"/>
  <c r="L294" i="11"/>
  <c r="J294" i="11"/>
  <c r="K294" i="11" s="1"/>
  <c r="I294" i="11"/>
  <c r="H294" i="11"/>
  <c r="M293" i="11"/>
  <c r="L293" i="11"/>
  <c r="J293" i="11"/>
  <c r="K293" i="11" s="1"/>
  <c r="I293" i="11"/>
  <c r="H293" i="11"/>
  <c r="M292" i="11"/>
  <c r="L292" i="11"/>
  <c r="J292" i="11"/>
  <c r="K292" i="11" s="1"/>
  <c r="I292" i="11"/>
  <c r="H292" i="11"/>
  <c r="M291" i="11"/>
  <c r="L291" i="11"/>
  <c r="J291" i="11"/>
  <c r="K291" i="11" s="1"/>
  <c r="I291" i="11"/>
  <c r="H291" i="11"/>
  <c r="M290" i="11"/>
  <c r="L290" i="11"/>
  <c r="J290" i="11"/>
  <c r="K290" i="11" s="1"/>
  <c r="I290" i="11"/>
  <c r="H290" i="11"/>
  <c r="M289" i="11"/>
  <c r="L289" i="11"/>
  <c r="J289" i="11"/>
  <c r="K289" i="11" s="1"/>
  <c r="I289" i="11"/>
  <c r="H289" i="11"/>
  <c r="M288" i="11"/>
  <c r="L288" i="11"/>
  <c r="J288" i="11"/>
  <c r="K288" i="11" s="1"/>
  <c r="I288" i="11"/>
  <c r="H288" i="11"/>
  <c r="M287" i="11"/>
  <c r="L287" i="11"/>
  <c r="J287" i="11"/>
  <c r="K287" i="11" s="1"/>
  <c r="I287" i="11"/>
  <c r="H287" i="11"/>
  <c r="M286" i="11"/>
  <c r="L286" i="11"/>
  <c r="J286" i="11"/>
  <c r="K286" i="11" s="1"/>
  <c r="I286" i="11"/>
  <c r="H286" i="11"/>
  <c r="M285" i="11"/>
  <c r="L285" i="11"/>
  <c r="J285" i="11"/>
  <c r="K285" i="11" s="1"/>
  <c r="I285" i="11"/>
  <c r="H285" i="11"/>
  <c r="M284" i="11"/>
  <c r="L284" i="11"/>
  <c r="J284" i="11"/>
  <c r="K284" i="11" s="1"/>
  <c r="I284" i="11"/>
  <c r="H284" i="11"/>
  <c r="M283" i="11"/>
  <c r="L283" i="11"/>
  <c r="J283" i="11"/>
  <c r="K283" i="11" s="1"/>
  <c r="I283" i="11"/>
  <c r="H283" i="11"/>
  <c r="M282" i="11"/>
  <c r="L282" i="11"/>
  <c r="J282" i="11"/>
  <c r="K282" i="11" s="1"/>
  <c r="I282" i="11"/>
  <c r="H282" i="11"/>
  <c r="M281" i="11"/>
  <c r="L281" i="11"/>
  <c r="J281" i="11"/>
  <c r="K281" i="11" s="1"/>
  <c r="I281" i="11"/>
  <c r="H281" i="11"/>
  <c r="M280" i="11"/>
  <c r="L280" i="11"/>
  <c r="J280" i="11"/>
  <c r="K280" i="11" s="1"/>
  <c r="I280" i="11"/>
  <c r="H280" i="11"/>
  <c r="M279" i="11"/>
  <c r="L279" i="11"/>
  <c r="J279" i="11"/>
  <c r="K279" i="11" s="1"/>
  <c r="I279" i="11"/>
  <c r="H279" i="11"/>
  <c r="M278" i="11"/>
  <c r="L278" i="11"/>
  <c r="J278" i="11"/>
  <c r="K278" i="11" s="1"/>
  <c r="I278" i="11"/>
  <c r="H278" i="11"/>
  <c r="M277" i="11"/>
  <c r="L277" i="11"/>
  <c r="J277" i="11"/>
  <c r="K277" i="11" s="1"/>
  <c r="I277" i="11"/>
  <c r="H277" i="11"/>
  <c r="M276" i="11"/>
  <c r="L276" i="11"/>
  <c r="J276" i="11"/>
  <c r="K276" i="11" s="1"/>
  <c r="I276" i="11"/>
  <c r="H276" i="11"/>
  <c r="M275" i="11"/>
  <c r="L275" i="11"/>
  <c r="J275" i="11"/>
  <c r="K275" i="11" s="1"/>
  <c r="I275" i="11"/>
  <c r="H275" i="11"/>
  <c r="M274" i="11"/>
  <c r="L274" i="11"/>
  <c r="J274" i="11"/>
  <c r="K274" i="11" s="1"/>
  <c r="I274" i="11"/>
  <c r="H274" i="11"/>
  <c r="M273" i="11"/>
  <c r="L273" i="11"/>
  <c r="J273" i="11"/>
  <c r="K273" i="11" s="1"/>
  <c r="I273" i="11"/>
  <c r="H273" i="11"/>
  <c r="M272" i="11"/>
  <c r="L272" i="11"/>
  <c r="J272" i="11"/>
  <c r="K272" i="11" s="1"/>
  <c r="I272" i="11"/>
  <c r="H272" i="11"/>
  <c r="M271" i="11"/>
  <c r="L271" i="11"/>
  <c r="J271" i="11"/>
  <c r="K271" i="11" s="1"/>
  <c r="I271" i="11"/>
  <c r="H271" i="11"/>
  <c r="M270" i="11"/>
  <c r="L270" i="11"/>
  <c r="J270" i="11"/>
  <c r="K270" i="11" s="1"/>
  <c r="I270" i="11"/>
  <c r="H270" i="11"/>
  <c r="M269" i="11"/>
  <c r="L269" i="11"/>
  <c r="J269" i="11"/>
  <c r="K269" i="11" s="1"/>
  <c r="I269" i="11"/>
  <c r="H269" i="11"/>
  <c r="M268" i="11"/>
  <c r="L268" i="11"/>
  <c r="J268" i="11"/>
  <c r="K268" i="11" s="1"/>
  <c r="I268" i="11"/>
  <c r="H268" i="11"/>
  <c r="M267" i="11"/>
  <c r="L267" i="11"/>
  <c r="J267" i="11"/>
  <c r="K267" i="11" s="1"/>
  <c r="I267" i="11"/>
  <c r="H267" i="11"/>
  <c r="M266" i="11"/>
  <c r="L266" i="11"/>
  <c r="J266" i="11"/>
  <c r="K266" i="11" s="1"/>
  <c r="I266" i="11"/>
  <c r="H266" i="11"/>
  <c r="M265" i="11"/>
  <c r="L265" i="11"/>
  <c r="J265" i="11"/>
  <c r="K265" i="11" s="1"/>
  <c r="I265" i="11"/>
  <c r="H265" i="11"/>
  <c r="M264" i="11"/>
  <c r="L264" i="11"/>
  <c r="J264" i="11"/>
  <c r="K264" i="11" s="1"/>
  <c r="I264" i="11"/>
  <c r="H264" i="11"/>
  <c r="M263" i="11"/>
  <c r="L263" i="11"/>
  <c r="J263" i="11"/>
  <c r="K263" i="11" s="1"/>
  <c r="I263" i="11"/>
  <c r="H263" i="11"/>
  <c r="M262" i="11"/>
  <c r="L262" i="11"/>
  <c r="J262" i="11"/>
  <c r="K262" i="11" s="1"/>
  <c r="I262" i="11"/>
  <c r="H262" i="11"/>
  <c r="M261" i="11"/>
  <c r="L261" i="11"/>
  <c r="J261" i="11"/>
  <c r="K261" i="11" s="1"/>
  <c r="I261" i="11"/>
  <c r="H261" i="11"/>
  <c r="M260" i="11"/>
  <c r="L260" i="11"/>
  <c r="J260" i="11"/>
  <c r="K260" i="11" s="1"/>
  <c r="I260" i="11"/>
  <c r="H260" i="11"/>
  <c r="M259" i="11"/>
  <c r="L259" i="11"/>
  <c r="J259" i="11"/>
  <c r="K259" i="11" s="1"/>
  <c r="I259" i="11"/>
  <c r="H259" i="11"/>
  <c r="M258" i="11"/>
  <c r="L258" i="11"/>
  <c r="J258" i="11"/>
  <c r="K258" i="11" s="1"/>
  <c r="I258" i="11"/>
  <c r="H258" i="11"/>
  <c r="M257" i="11"/>
  <c r="L257" i="11"/>
  <c r="J257" i="11"/>
  <c r="K257" i="11" s="1"/>
  <c r="I257" i="11"/>
  <c r="H257" i="11"/>
  <c r="M256" i="11"/>
  <c r="L256" i="11"/>
  <c r="J256" i="11"/>
  <c r="K256" i="11" s="1"/>
  <c r="I256" i="11"/>
  <c r="H256" i="11"/>
  <c r="M255" i="11"/>
  <c r="L255" i="11"/>
  <c r="J255" i="11"/>
  <c r="K255" i="11" s="1"/>
  <c r="I255" i="11"/>
  <c r="H255" i="11"/>
  <c r="M254" i="11"/>
  <c r="L254" i="11"/>
  <c r="J254" i="11"/>
  <c r="K254" i="11" s="1"/>
  <c r="I254" i="11"/>
  <c r="H254" i="11"/>
  <c r="M253" i="11"/>
  <c r="L253" i="11"/>
  <c r="J253" i="11"/>
  <c r="K253" i="11" s="1"/>
  <c r="I253" i="11"/>
  <c r="H253" i="11"/>
  <c r="M252" i="11"/>
  <c r="L252" i="11"/>
  <c r="J252" i="11"/>
  <c r="K252" i="11" s="1"/>
  <c r="I252" i="11"/>
  <c r="H252" i="11"/>
  <c r="M251" i="11"/>
  <c r="L251" i="11"/>
  <c r="J251" i="11"/>
  <c r="K251" i="11" s="1"/>
  <c r="I251" i="11"/>
  <c r="H251" i="11"/>
  <c r="M250" i="11"/>
  <c r="L250" i="11"/>
  <c r="J250" i="11"/>
  <c r="K250" i="11" s="1"/>
  <c r="I250" i="11"/>
  <c r="H250" i="11"/>
  <c r="M249" i="11"/>
  <c r="L249" i="11"/>
  <c r="J249" i="11"/>
  <c r="K249" i="11" s="1"/>
  <c r="I249" i="11"/>
  <c r="H249" i="11"/>
  <c r="M248" i="11"/>
  <c r="L248" i="11"/>
  <c r="J248" i="11"/>
  <c r="K248" i="11" s="1"/>
  <c r="I248" i="11"/>
  <c r="H248" i="11"/>
  <c r="M247" i="11"/>
  <c r="L247" i="11"/>
  <c r="J247" i="11"/>
  <c r="K247" i="11" s="1"/>
  <c r="I247" i="11"/>
  <c r="H247" i="11"/>
  <c r="M246" i="11"/>
  <c r="L246" i="11"/>
  <c r="J246" i="11"/>
  <c r="K246" i="11" s="1"/>
  <c r="I246" i="11"/>
  <c r="H246" i="11"/>
  <c r="M245" i="11"/>
  <c r="L245" i="11"/>
  <c r="J245" i="11"/>
  <c r="K245" i="11" s="1"/>
  <c r="I245" i="11"/>
  <c r="H245" i="11"/>
  <c r="M244" i="11"/>
  <c r="L244" i="11"/>
  <c r="J244" i="11"/>
  <c r="K244" i="11" s="1"/>
  <c r="I244" i="11"/>
  <c r="H244" i="11"/>
  <c r="M243" i="11"/>
  <c r="L243" i="11"/>
  <c r="J243" i="11"/>
  <c r="K243" i="11" s="1"/>
  <c r="I243" i="11"/>
  <c r="H243" i="11"/>
  <c r="M242" i="11"/>
  <c r="L242" i="11"/>
  <c r="J242" i="11"/>
  <c r="K242" i="11" s="1"/>
  <c r="I242" i="11"/>
  <c r="H242" i="11"/>
  <c r="M241" i="11"/>
  <c r="L241" i="11"/>
  <c r="J241" i="11"/>
  <c r="K241" i="11" s="1"/>
  <c r="I241" i="11"/>
  <c r="H241" i="11"/>
  <c r="M240" i="11"/>
  <c r="L240" i="11"/>
  <c r="J240" i="11"/>
  <c r="K240" i="11" s="1"/>
  <c r="I240" i="11"/>
  <c r="H240" i="11"/>
  <c r="M239" i="11"/>
  <c r="L239" i="11"/>
  <c r="J239" i="11"/>
  <c r="K239" i="11" s="1"/>
  <c r="I239" i="11"/>
  <c r="H239" i="11"/>
  <c r="M238" i="11"/>
  <c r="L238" i="11"/>
  <c r="J238" i="11"/>
  <c r="K238" i="11" s="1"/>
  <c r="I238" i="11"/>
  <c r="H238" i="11"/>
  <c r="M237" i="11"/>
  <c r="L237" i="11"/>
  <c r="J237" i="11"/>
  <c r="K237" i="11" s="1"/>
  <c r="I237" i="11"/>
  <c r="H237" i="11"/>
  <c r="M236" i="11"/>
  <c r="L236" i="11"/>
  <c r="J236" i="11"/>
  <c r="K236" i="11" s="1"/>
  <c r="I236" i="11"/>
  <c r="H236" i="11"/>
  <c r="M235" i="11"/>
  <c r="L235" i="11"/>
  <c r="J235" i="11"/>
  <c r="K235" i="11" s="1"/>
  <c r="I235" i="11"/>
  <c r="H235" i="11"/>
  <c r="M234" i="11"/>
  <c r="L234" i="11"/>
  <c r="J234" i="11"/>
  <c r="K234" i="11" s="1"/>
  <c r="I234" i="11"/>
  <c r="H234" i="11"/>
  <c r="M233" i="11"/>
  <c r="L233" i="11"/>
  <c r="J233" i="11"/>
  <c r="K233" i="11" s="1"/>
  <c r="I233" i="11"/>
  <c r="H233" i="11"/>
  <c r="M232" i="11"/>
  <c r="L232" i="11"/>
  <c r="J232" i="11"/>
  <c r="K232" i="11" s="1"/>
  <c r="I232" i="11"/>
  <c r="H232" i="11"/>
  <c r="M231" i="11"/>
  <c r="L231" i="11"/>
  <c r="J231" i="11"/>
  <c r="K231" i="11" s="1"/>
  <c r="I231" i="11"/>
  <c r="H231" i="11"/>
  <c r="M230" i="11"/>
  <c r="L230" i="11"/>
  <c r="J230" i="11"/>
  <c r="K230" i="11" s="1"/>
  <c r="I230" i="11"/>
  <c r="H230" i="11"/>
  <c r="M229" i="11"/>
  <c r="L229" i="11"/>
  <c r="J229" i="11"/>
  <c r="K229" i="11" s="1"/>
  <c r="I229" i="11"/>
  <c r="H229" i="11"/>
  <c r="M228" i="11"/>
  <c r="L228" i="11"/>
  <c r="J228" i="11"/>
  <c r="K228" i="11" s="1"/>
  <c r="I228" i="11"/>
  <c r="H228" i="11"/>
  <c r="M227" i="11"/>
  <c r="L227" i="11"/>
  <c r="J227" i="11"/>
  <c r="K227" i="11" s="1"/>
  <c r="I227" i="11"/>
  <c r="H227" i="11"/>
  <c r="M226" i="11"/>
  <c r="L226" i="11"/>
  <c r="J226" i="11"/>
  <c r="K226" i="11" s="1"/>
  <c r="I226" i="11"/>
  <c r="H226" i="11"/>
  <c r="M225" i="11"/>
  <c r="L225" i="11"/>
  <c r="J225" i="11"/>
  <c r="K225" i="11" s="1"/>
  <c r="I225" i="11"/>
  <c r="H225" i="11"/>
  <c r="M224" i="11"/>
  <c r="L224" i="11"/>
  <c r="J224" i="11"/>
  <c r="K224" i="11" s="1"/>
  <c r="I224" i="11"/>
  <c r="H224" i="11"/>
  <c r="M223" i="11"/>
  <c r="L223" i="11"/>
  <c r="J223" i="11"/>
  <c r="K223" i="11" s="1"/>
  <c r="I223" i="11"/>
  <c r="H223" i="11"/>
  <c r="M222" i="11"/>
  <c r="L222" i="11"/>
  <c r="J222" i="11"/>
  <c r="K222" i="11" s="1"/>
  <c r="I222" i="11"/>
  <c r="H222" i="11"/>
  <c r="M221" i="11"/>
  <c r="L221" i="11"/>
  <c r="J221" i="11"/>
  <c r="K221" i="11" s="1"/>
  <c r="I221" i="11"/>
  <c r="H221" i="11"/>
  <c r="M220" i="11"/>
  <c r="L220" i="11"/>
  <c r="J220" i="11"/>
  <c r="K220" i="11" s="1"/>
  <c r="I220" i="11"/>
  <c r="H220" i="11"/>
  <c r="M219" i="11"/>
  <c r="L219" i="11"/>
  <c r="J219" i="11"/>
  <c r="K219" i="11" s="1"/>
  <c r="I219" i="11"/>
  <c r="H219" i="11"/>
  <c r="M218" i="11"/>
  <c r="L218" i="11"/>
  <c r="J218" i="11"/>
  <c r="K218" i="11" s="1"/>
  <c r="I218" i="11"/>
  <c r="H218" i="11"/>
  <c r="M217" i="11"/>
  <c r="L217" i="11"/>
  <c r="J217" i="11"/>
  <c r="K217" i="11" s="1"/>
  <c r="I217" i="11"/>
  <c r="H217" i="11"/>
  <c r="M216" i="11"/>
  <c r="L216" i="11"/>
  <c r="J216" i="11"/>
  <c r="K216" i="11" s="1"/>
  <c r="I216" i="11"/>
  <c r="H216" i="11"/>
  <c r="M215" i="11"/>
  <c r="L215" i="11"/>
  <c r="J215" i="11"/>
  <c r="K215" i="11" s="1"/>
  <c r="I215" i="11"/>
  <c r="H215" i="11"/>
  <c r="M214" i="11"/>
  <c r="L214" i="11"/>
  <c r="J214" i="11"/>
  <c r="K214" i="11" s="1"/>
  <c r="I214" i="11"/>
  <c r="H214" i="11"/>
  <c r="M213" i="11"/>
  <c r="L213" i="11"/>
  <c r="J213" i="11"/>
  <c r="K213" i="11" s="1"/>
  <c r="I213" i="11"/>
  <c r="H213" i="11"/>
  <c r="M212" i="11"/>
  <c r="L212" i="11"/>
  <c r="J212" i="11"/>
  <c r="K212" i="11" s="1"/>
  <c r="I212" i="11"/>
  <c r="H212" i="11"/>
  <c r="M211" i="11"/>
  <c r="L211" i="11"/>
  <c r="J211" i="11"/>
  <c r="K211" i="11" s="1"/>
  <c r="I211" i="11"/>
  <c r="H211" i="11"/>
  <c r="M210" i="11"/>
  <c r="L210" i="11"/>
  <c r="J210" i="11"/>
  <c r="K210" i="11" s="1"/>
  <c r="I210" i="11"/>
  <c r="H210" i="11"/>
  <c r="M209" i="11"/>
  <c r="L209" i="11"/>
  <c r="J209" i="11"/>
  <c r="K209" i="11" s="1"/>
  <c r="I209" i="11"/>
  <c r="H209" i="11"/>
  <c r="M208" i="11"/>
  <c r="L208" i="11"/>
  <c r="J208" i="11"/>
  <c r="K208" i="11" s="1"/>
  <c r="I208" i="11"/>
  <c r="H208" i="11"/>
  <c r="M207" i="11"/>
  <c r="L207" i="11"/>
  <c r="J207" i="11"/>
  <c r="K207" i="11" s="1"/>
  <c r="I207" i="11"/>
  <c r="H207" i="11"/>
  <c r="M206" i="11"/>
  <c r="L206" i="11"/>
  <c r="J206" i="11"/>
  <c r="K206" i="11" s="1"/>
  <c r="I206" i="11"/>
  <c r="H206" i="11"/>
  <c r="M205" i="11"/>
  <c r="L205" i="11"/>
  <c r="J205" i="11"/>
  <c r="K205" i="11" s="1"/>
  <c r="I205" i="11"/>
  <c r="H205" i="11"/>
  <c r="M204" i="11"/>
  <c r="L204" i="11"/>
  <c r="J204" i="11"/>
  <c r="K204" i="11" s="1"/>
  <c r="I204" i="11"/>
  <c r="H204" i="11"/>
  <c r="M203" i="11"/>
  <c r="L203" i="11"/>
  <c r="J203" i="11"/>
  <c r="K203" i="11" s="1"/>
  <c r="I203" i="11"/>
  <c r="H203" i="11"/>
  <c r="M202" i="11"/>
  <c r="L202" i="11"/>
  <c r="J202" i="11"/>
  <c r="K202" i="11" s="1"/>
  <c r="I202" i="11"/>
  <c r="H202" i="11"/>
  <c r="M201" i="11"/>
  <c r="L201" i="11"/>
  <c r="J201" i="11"/>
  <c r="K201" i="11" s="1"/>
  <c r="I201" i="11"/>
  <c r="H201" i="11"/>
  <c r="M200" i="11"/>
  <c r="L200" i="11"/>
  <c r="J200" i="11"/>
  <c r="K200" i="11" s="1"/>
  <c r="I200" i="11"/>
  <c r="H200" i="11"/>
  <c r="M199" i="11"/>
  <c r="L199" i="11"/>
  <c r="J199" i="11"/>
  <c r="K199" i="11" s="1"/>
  <c r="I199" i="11"/>
  <c r="H199" i="11"/>
  <c r="M198" i="11"/>
  <c r="L198" i="11"/>
  <c r="J198" i="11"/>
  <c r="K198" i="11" s="1"/>
  <c r="I198" i="11"/>
  <c r="H198" i="11"/>
  <c r="M197" i="11"/>
  <c r="L197" i="11"/>
  <c r="J197" i="11"/>
  <c r="K197" i="11" s="1"/>
  <c r="I197" i="11"/>
  <c r="H197" i="11"/>
  <c r="M196" i="11"/>
  <c r="L196" i="11"/>
  <c r="J196" i="11"/>
  <c r="K196" i="11" s="1"/>
  <c r="I196" i="11"/>
  <c r="H196" i="11"/>
  <c r="M195" i="11"/>
  <c r="L195" i="11"/>
  <c r="J195" i="11"/>
  <c r="K195" i="11" s="1"/>
  <c r="I195" i="11"/>
  <c r="H195" i="11"/>
  <c r="M194" i="11"/>
  <c r="L194" i="11"/>
  <c r="J194" i="11"/>
  <c r="K194" i="11" s="1"/>
  <c r="I194" i="11"/>
  <c r="H194" i="11"/>
  <c r="M193" i="11"/>
  <c r="L193" i="11"/>
  <c r="J193" i="11"/>
  <c r="K193" i="11" s="1"/>
  <c r="I193" i="11"/>
  <c r="H193" i="11"/>
  <c r="M192" i="11"/>
  <c r="L192" i="11"/>
  <c r="J192" i="11"/>
  <c r="K192" i="11" s="1"/>
  <c r="I192" i="11"/>
  <c r="H192" i="11"/>
  <c r="M191" i="11"/>
  <c r="L191" i="11"/>
  <c r="J191" i="11"/>
  <c r="K191" i="11" s="1"/>
  <c r="I191" i="11"/>
  <c r="H191" i="11"/>
  <c r="M190" i="11"/>
  <c r="L190" i="11"/>
  <c r="J190" i="11"/>
  <c r="K190" i="11" s="1"/>
  <c r="I190" i="11"/>
  <c r="H190" i="11"/>
  <c r="M189" i="11"/>
  <c r="L189" i="11"/>
  <c r="J189" i="11"/>
  <c r="K189" i="11" s="1"/>
  <c r="I189" i="11"/>
  <c r="H189" i="11"/>
  <c r="M188" i="11"/>
  <c r="L188" i="11"/>
  <c r="J188" i="11"/>
  <c r="K188" i="11" s="1"/>
  <c r="I188" i="11"/>
  <c r="H188" i="11"/>
  <c r="M187" i="11"/>
  <c r="L187" i="11"/>
  <c r="J187" i="11"/>
  <c r="K187" i="11" s="1"/>
  <c r="I187" i="11"/>
  <c r="H187" i="11"/>
  <c r="M186" i="11"/>
  <c r="L186" i="11"/>
  <c r="J186" i="11"/>
  <c r="K186" i="11" s="1"/>
  <c r="I186" i="11"/>
  <c r="H186" i="11"/>
  <c r="M185" i="11"/>
  <c r="L185" i="11"/>
  <c r="J185" i="11"/>
  <c r="K185" i="11" s="1"/>
  <c r="I185" i="11"/>
  <c r="H185" i="11"/>
  <c r="M184" i="11"/>
  <c r="L184" i="11"/>
  <c r="J184" i="11"/>
  <c r="K184" i="11" s="1"/>
  <c r="I184" i="11"/>
  <c r="H184" i="11"/>
  <c r="M183" i="11"/>
  <c r="L183" i="11"/>
  <c r="J183" i="11"/>
  <c r="K183" i="11" s="1"/>
  <c r="I183" i="11"/>
  <c r="H183" i="11"/>
  <c r="M182" i="11"/>
  <c r="L182" i="11"/>
  <c r="J182" i="11"/>
  <c r="K182" i="11" s="1"/>
  <c r="I182" i="11"/>
  <c r="H182" i="11"/>
  <c r="M181" i="11"/>
  <c r="L181" i="11"/>
  <c r="J181" i="11"/>
  <c r="K181" i="11" s="1"/>
  <c r="I181" i="11"/>
  <c r="H181" i="11"/>
  <c r="M180" i="11"/>
  <c r="L180" i="11"/>
  <c r="J180" i="11"/>
  <c r="K180" i="11" s="1"/>
  <c r="I180" i="11"/>
  <c r="H180" i="11"/>
  <c r="M179" i="11"/>
  <c r="L179" i="11"/>
  <c r="J179" i="11"/>
  <c r="K179" i="11" s="1"/>
  <c r="I179" i="11"/>
  <c r="H179" i="11"/>
  <c r="M178" i="11"/>
  <c r="L178" i="11"/>
  <c r="J178" i="11"/>
  <c r="K178" i="11" s="1"/>
  <c r="I178" i="11"/>
  <c r="H178" i="11"/>
  <c r="M177" i="11"/>
  <c r="L177" i="11"/>
  <c r="J177" i="11"/>
  <c r="K177" i="11" s="1"/>
  <c r="I177" i="11"/>
  <c r="H177" i="11"/>
  <c r="M176" i="11"/>
  <c r="L176" i="11"/>
  <c r="J176" i="11"/>
  <c r="K176" i="11" s="1"/>
  <c r="I176" i="11"/>
  <c r="H176" i="11"/>
  <c r="M175" i="11"/>
  <c r="L175" i="11"/>
  <c r="J175" i="11"/>
  <c r="K175" i="11" s="1"/>
  <c r="I175" i="11"/>
  <c r="H175" i="11"/>
  <c r="M174" i="11"/>
  <c r="L174" i="11"/>
  <c r="J174" i="11"/>
  <c r="K174" i="11" s="1"/>
  <c r="I174" i="11"/>
  <c r="H174" i="11"/>
  <c r="M173" i="11"/>
  <c r="L173" i="11"/>
  <c r="J173" i="11"/>
  <c r="K173" i="11" s="1"/>
  <c r="I173" i="11"/>
  <c r="H173" i="11"/>
  <c r="M172" i="11"/>
  <c r="L172" i="11"/>
  <c r="J172" i="11"/>
  <c r="K172" i="11" s="1"/>
  <c r="I172" i="11"/>
  <c r="H172" i="11"/>
  <c r="M171" i="11"/>
  <c r="L171" i="11"/>
  <c r="J171" i="11"/>
  <c r="K171" i="11" s="1"/>
  <c r="I171" i="11"/>
  <c r="H171" i="11"/>
  <c r="M170" i="11"/>
  <c r="L170" i="11"/>
  <c r="J170" i="11"/>
  <c r="K170" i="11" s="1"/>
  <c r="I170" i="11"/>
  <c r="H170" i="11"/>
  <c r="M169" i="11"/>
  <c r="L169" i="11"/>
  <c r="J169" i="11"/>
  <c r="K169" i="11" s="1"/>
  <c r="I169" i="11"/>
  <c r="H169" i="11"/>
  <c r="M168" i="11"/>
  <c r="L168" i="11"/>
  <c r="J168" i="11"/>
  <c r="K168" i="11" s="1"/>
  <c r="I168" i="11"/>
  <c r="H168" i="11"/>
  <c r="M167" i="11"/>
  <c r="L167" i="11"/>
  <c r="J167" i="11"/>
  <c r="K167" i="11" s="1"/>
  <c r="I167" i="11"/>
  <c r="H167" i="11"/>
  <c r="M166" i="11"/>
  <c r="L166" i="11"/>
  <c r="J166" i="11"/>
  <c r="K166" i="11" s="1"/>
  <c r="I166" i="11"/>
  <c r="H166" i="11"/>
  <c r="M165" i="11"/>
  <c r="L165" i="11"/>
  <c r="J165" i="11"/>
  <c r="K165" i="11" s="1"/>
  <c r="I165" i="11"/>
  <c r="H165" i="11"/>
  <c r="M164" i="11"/>
  <c r="L164" i="11"/>
  <c r="J164" i="11"/>
  <c r="K164" i="11" s="1"/>
  <c r="I164" i="11"/>
  <c r="H164" i="11"/>
  <c r="M163" i="11"/>
  <c r="L163" i="11"/>
  <c r="J163" i="11"/>
  <c r="K163" i="11" s="1"/>
  <c r="I163" i="11"/>
  <c r="H163" i="11"/>
  <c r="M162" i="11"/>
  <c r="L162" i="11"/>
  <c r="J162" i="11"/>
  <c r="K162" i="11" s="1"/>
  <c r="I162" i="11"/>
  <c r="H162" i="11"/>
  <c r="M161" i="11"/>
  <c r="L161" i="11"/>
  <c r="J161" i="11"/>
  <c r="K161" i="11" s="1"/>
  <c r="I161" i="11"/>
  <c r="H161" i="11"/>
  <c r="M160" i="11"/>
  <c r="L160" i="11"/>
  <c r="J160" i="11"/>
  <c r="K160" i="11" s="1"/>
  <c r="I160" i="11"/>
  <c r="H160" i="11"/>
  <c r="M159" i="11"/>
  <c r="L159" i="11"/>
  <c r="J159" i="11"/>
  <c r="K159" i="11" s="1"/>
  <c r="I159" i="11"/>
  <c r="H159" i="11"/>
  <c r="M158" i="11"/>
  <c r="L158" i="11"/>
  <c r="J158" i="11"/>
  <c r="K158" i="11" s="1"/>
  <c r="I158" i="11"/>
  <c r="H158" i="11"/>
  <c r="M157" i="11"/>
  <c r="L157" i="11"/>
  <c r="J157" i="11"/>
  <c r="K157" i="11" s="1"/>
  <c r="I157" i="11"/>
  <c r="H157" i="11"/>
  <c r="M156" i="11"/>
  <c r="L156" i="11"/>
  <c r="K156" i="11"/>
  <c r="J156" i="11"/>
  <c r="I156" i="11"/>
  <c r="H156" i="11"/>
  <c r="M155" i="11"/>
  <c r="L155" i="11"/>
  <c r="J155" i="11"/>
  <c r="K155" i="11" s="1"/>
  <c r="I155" i="11"/>
  <c r="H155" i="11"/>
  <c r="M154" i="11"/>
  <c r="L154" i="11"/>
  <c r="J154" i="11"/>
  <c r="K154" i="11" s="1"/>
  <c r="I154" i="11"/>
  <c r="H154" i="11"/>
  <c r="M153" i="11"/>
  <c r="L153" i="11"/>
  <c r="J153" i="11"/>
  <c r="K153" i="11" s="1"/>
  <c r="I153" i="11"/>
  <c r="H153" i="11"/>
  <c r="M152" i="11"/>
  <c r="L152" i="11"/>
  <c r="J152" i="11"/>
  <c r="K152" i="11" s="1"/>
  <c r="I152" i="11"/>
  <c r="H152" i="11"/>
  <c r="M151" i="11"/>
  <c r="L151" i="11"/>
  <c r="J151" i="11"/>
  <c r="K151" i="11" s="1"/>
  <c r="I151" i="11"/>
  <c r="H151" i="11"/>
  <c r="M150" i="11"/>
  <c r="L150" i="11"/>
  <c r="J150" i="11"/>
  <c r="K150" i="11" s="1"/>
  <c r="I150" i="11"/>
  <c r="H150" i="11"/>
  <c r="M149" i="11"/>
  <c r="L149" i="11"/>
  <c r="J149" i="11"/>
  <c r="K149" i="11" s="1"/>
  <c r="I149" i="11"/>
  <c r="H149" i="11"/>
  <c r="M148" i="11"/>
  <c r="L148" i="11"/>
  <c r="J148" i="11"/>
  <c r="K148" i="11" s="1"/>
  <c r="I148" i="11"/>
  <c r="H148" i="11"/>
  <c r="M147" i="11"/>
  <c r="L147" i="11"/>
  <c r="J147" i="11"/>
  <c r="K147" i="11" s="1"/>
  <c r="I147" i="11"/>
  <c r="H147" i="11"/>
  <c r="M146" i="11"/>
  <c r="L146" i="11"/>
  <c r="J146" i="11"/>
  <c r="K146" i="11" s="1"/>
  <c r="I146" i="11"/>
  <c r="H146" i="11"/>
  <c r="M145" i="11"/>
  <c r="L145" i="11"/>
  <c r="J145" i="11"/>
  <c r="K145" i="11" s="1"/>
  <c r="I145" i="11"/>
  <c r="H145" i="11"/>
  <c r="M144" i="11"/>
  <c r="L144" i="11"/>
  <c r="J144" i="11"/>
  <c r="K144" i="11" s="1"/>
  <c r="I144" i="11"/>
  <c r="H144" i="11"/>
  <c r="M143" i="11"/>
  <c r="L143" i="11"/>
  <c r="J143" i="11"/>
  <c r="K143" i="11" s="1"/>
  <c r="I143" i="11"/>
  <c r="H143" i="11"/>
  <c r="M142" i="11"/>
  <c r="L142" i="11"/>
  <c r="J142" i="11"/>
  <c r="K142" i="11" s="1"/>
  <c r="I142" i="11"/>
  <c r="H142" i="11"/>
  <c r="M141" i="11"/>
  <c r="L141" i="11"/>
  <c r="J141" i="11"/>
  <c r="K141" i="11" s="1"/>
  <c r="I141" i="11"/>
  <c r="H141" i="11"/>
  <c r="M140" i="11"/>
  <c r="L140" i="11"/>
  <c r="J140" i="11"/>
  <c r="K140" i="11" s="1"/>
  <c r="I140" i="11"/>
  <c r="H140" i="11"/>
  <c r="M139" i="11"/>
  <c r="L139" i="11"/>
  <c r="K139" i="11"/>
  <c r="J139" i="11"/>
  <c r="I139" i="11"/>
  <c r="H139" i="11"/>
  <c r="M138" i="11"/>
  <c r="L138" i="11"/>
  <c r="J138" i="11"/>
  <c r="K138" i="11" s="1"/>
  <c r="I138" i="11"/>
  <c r="H138" i="11"/>
  <c r="M137" i="11"/>
  <c r="L137" i="11"/>
  <c r="J137" i="11"/>
  <c r="K137" i="11" s="1"/>
  <c r="I137" i="11"/>
  <c r="H137" i="11"/>
  <c r="M136" i="11"/>
  <c r="L136" i="11"/>
  <c r="J136" i="11"/>
  <c r="K136" i="11" s="1"/>
  <c r="I136" i="11"/>
  <c r="H136" i="11"/>
  <c r="M135" i="11"/>
  <c r="L135" i="11"/>
  <c r="J135" i="11"/>
  <c r="K135" i="11" s="1"/>
  <c r="I135" i="11"/>
  <c r="H135" i="11"/>
  <c r="M134" i="11"/>
  <c r="L134" i="11"/>
  <c r="J134" i="11"/>
  <c r="K134" i="11" s="1"/>
  <c r="I134" i="11"/>
  <c r="H134" i="11"/>
  <c r="M133" i="11"/>
  <c r="L133" i="11"/>
  <c r="J133" i="11"/>
  <c r="K133" i="11" s="1"/>
  <c r="I133" i="11"/>
  <c r="H133" i="11"/>
  <c r="M132" i="11"/>
  <c r="L132" i="11"/>
  <c r="J132" i="11"/>
  <c r="K132" i="11" s="1"/>
  <c r="I132" i="11"/>
  <c r="H132" i="11"/>
  <c r="M131" i="11"/>
  <c r="L131" i="11"/>
  <c r="J131" i="11"/>
  <c r="K131" i="11" s="1"/>
  <c r="I131" i="11"/>
  <c r="H131" i="11"/>
  <c r="M130" i="11"/>
  <c r="L130" i="11"/>
  <c r="J130" i="11"/>
  <c r="K130" i="11" s="1"/>
  <c r="I130" i="11"/>
  <c r="H130" i="11"/>
  <c r="M129" i="11"/>
  <c r="L129" i="11"/>
  <c r="J129" i="11"/>
  <c r="K129" i="11" s="1"/>
  <c r="I129" i="11"/>
  <c r="H129" i="11"/>
  <c r="M128" i="11"/>
  <c r="L128" i="11"/>
  <c r="J128" i="11"/>
  <c r="K128" i="11" s="1"/>
  <c r="I128" i="11"/>
  <c r="H128" i="11"/>
  <c r="M127" i="11"/>
  <c r="L127" i="11"/>
  <c r="J127" i="11"/>
  <c r="K127" i="11" s="1"/>
  <c r="I127" i="11"/>
  <c r="H127" i="11"/>
  <c r="M126" i="11"/>
  <c r="L126" i="11"/>
  <c r="J126" i="11"/>
  <c r="K126" i="11" s="1"/>
  <c r="I126" i="11"/>
  <c r="H126" i="11"/>
  <c r="M125" i="11"/>
  <c r="L125" i="11"/>
  <c r="J125" i="11"/>
  <c r="K125" i="11" s="1"/>
  <c r="I125" i="11"/>
  <c r="H125" i="11"/>
  <c r="M124" i="11"/>
  <c r="L124" i="11"/>
  <c r="J124" i="11"/>
  <c r="K124" i="11" s="1"/>
  <c r="I124" i="11"/>
  <c r="H124" i="11"/>
  <c r="M123" i="11"/>
  <c r="L123" i="11"/>
  <c r="J123" i="11"/>
  <c r="K123" i="11" s="1"/>
  <c r="I123" i="11"/>
  <c r="H123" i="11"/>
  <c r="M122" i="11"/>
  <c r="L122" i="11"/>
  <c r="J122" i="11"/>
  <c r="K122" i="11" s="1"/>
  <c r="I122" i="11"/>
  <c r="H122" i="11"/>
  <c r="M121" i="11"/>
  <c r="L121" i="11"/>
  <c r="J121" i="11"/>
  <c r="K121" i="11" s="1"/>
  <c r="I121" i="11"/>
  <c r="H121" i="11"/>
  <c r="M120" i="11"/>
  <c r="L120" i="11"/>
  <c r="J120" i="11"/>
  <c r="K120" i="11" s="1"/>
  <c r="I120" i="11"/>
  <c r="H120" i="11"/>
  <c r="M119" i="11"/>
  <c r="L119" i="11"/>
  <c r="J119" i="11"/>
  <c r="K119" i="11" s="1"/>
  <c r="I119" i="11"/>
  <c r="H119" i="11"/>
  <c r="M118" i="11"/>
  <c r="L118" i="11"/>
  <c r="J118" i="11"/>
  <c r="K118" i="11" s="1"/>
  <c r="I118" i="11"/>
  <c r="H118" i="11"/>
  <c r="M117" i="11"/>
  <c r="L117" i="11"/>
  <c r="J117" i="11"/>
  <c r="K117" i="11" s="1"/>
  <c r="I117" i="11"/>
  <c r="H117" i="11"/>
  <c r="M116" i="11"/>
  <c r="L116" i="11"/>
  <c r="J116" i="11"/>
  <c r="K116" i="11" s="1"/>
  <c r="I116" i="11"/>
  <c r="H116" i="11"/>
  <c r="M115" i="11"/>
  <c r="L115" i="11"/>
  <c r="J115" i="11"/>
  <c r="K115" i="11" s="1"/>
  <c r="I115" i="11"/>
  <c r="H115" i="11"/>
  <c r="M114" i="11"/>
  <c r="L114" i="11"/>
  <c r="J114" i="11"/>
  <c r="K114" i="11" s="1"/>
  <c r="I114" i="11"/>
  <c r="H114" i="11"/>
  <c r="M113" i="11"/>
  <c r="L113" i="11"/>
  <c r="J113" i="11"/>
  <c r="K113" i="11" s="1"/>
  <c r="I113" i="11"/>
  <c r="H113" i="11"/>
  <c r="M112" i="11"/>
  <c r="L112" i="11"/>
  <c r="J112" i="11"/>
  <c r="K112" i="11" s="1"/>
  <c r="I112" i="11"/>
  <c r="H112" i="11"/>
  <c r="M111" i="11"/>
  <c r="L111" i="11"/>
  <c r="J111" i="11"/>
  <c r="K111" i="11" s="1"/>
  <c r="I111" i="11"/>
  <c r="H111" i="11"/>
  <c r="M110" i="11"/>
  <c r="L110" i="11"/>
  <c r="J110" i="11"/>
  <c r="K110" i="11" s="1"/>
  <c r="I110" i="11"/>
  <c r="H110" i="11"/>
  <c r="M109" i="11"/>
  <c r="L109" i="11"/>
  <c r="J109" i="11"/>
  <c r="K109" i="11" s="1"/>
  <c r="I109" i="11"/>
  <c r="H109" i="11"/>
  <c r="M108" i="11"/>
  <c r="L108" i="11"/>
  <c r="J108" i="11"/>
  <c r="K108" i="11" s="1"/>
  <c r="I108" i="11"/>
  <c r="H108" i="11"/>
  <c r="M107" i="11"/>
  <c r="L107" i="11"/>
  <c r="J107" i="11"/>
  <c r="K107" i="11" s="1"/>
  <c r="I107" i="11"/>
  <c r="H107" i="11"/>
  <c r="M106" i="11"/>
  <c r="L106" i="11"/>
  <c r="J106" i="11"/>
  <c r="K106" i="11" s="1"/>
  <c r="I106" i="11"/>
  <c r="H106" i="11"/>
  <c r="M105" i="11"/>
  <c r="L105" i="11"/>
  <c r="J105" i="11"/>
  <c r="K105" i="11" s="1"/>
  <c r="I105" i="11"/>
  <c r="H105" i="11"/>
  <c r="M104" i="11"/>
  <c r="L104" i="11"/>
  <c r="J104" i="11"/>
  <c r="K104" i="11" s="1"/>
  <c r="I104" i="11"/>
  <c r="H104" i="11"/>
  <c r="M103" i="11"/>
  <c r="L103" i="11"/>
  <c r="J103" i="11"/>
  <c r="K103" i="11" s="1"/>
  <c r="I103" i="11"/>
  <c r="H103" i="11"/>
  <c r="M102" i="11"/>
  <c r="L102" i="11"/>
  <c r="J102" i="11"/>
  <c r="K102" i="11" s="1"/>
  <c r="I102" i="11"/>
  <c r="H102" i="11"/>
  <c r="M101" i="11"/>
  <c r="L101" i="11"/>
  <c r="J101" i="11"/>
  <c r="K101" i="11" s="1"/>
  <c r="I101" i="11"/>
  <c r="H101" i="11"/>
  <c r="M100" i="11"/>
  <c r="L100" i="11"/>
  <c r="J100" i="11"/>
  <c r="K100" i="11" s="1"/>
  <c r="I100" i="11"/>
  <c r="H100" i="11"/>
  <c r="M99" i="11"/>
  <c r="L99" i="11"/>
  <c r="J99" i="11"/>
  <c r="K99" i="11" s="1"/>
  <c r="I99" i="11"/>
  <c r="H99" i="11"/>
  <c r="M98" i="11"/>
  <c r="L98" i="11"/>
  <c r="J98" i="11"/>
  <c r="K98" i="11" s="1"/>
  <c r="I98" i="11"/>
  <c r="H98" i="11"/>
  <c r="M97" i="11"/>
  <c r="L97" i="11"/>
  <c r="J97" i="11"/>
  <c r="K97" i="11" s="1"/>
  <c r="I97" i="11"/>
  <c r="H97" i="11"/>
  <c r="M96" i="11"/>
  <c r="L96" i="11"/>
  <c r="J96" i="11"/>
  <c r="K96" i="11" s="1"/>
  <c r="I96" i="11"/>
  <c r="H96" i="11"/>
  <c r="M95" i="11"/>
  <c r="L95" i="11"/>
  <c r="J95" i="11"/>
  <c r="K95" i="11" s="1"/>
  <c r="I95" i="11"/>
  <c r="H95" i="11"/>
  <c r="M94" i="11"/>
  <c r="L94" i="11"/>
  <c r="J94" i="11"/>
  <c r="K94" i="11" s="1"/>
  <c r="I94" i="11"/>
  <c r="H94" i="11"/>
  <c r="M93" i="11"/>
  <c r="L93" i="11"/>
  <c r="J93" i="11"/>
  <c r="K93" i="11" s="1"/>
  <c r="I93" i="11"/>
  <c r="H93" i="11"/>
  <c r="M92" i="11"/>
  <c r="L92" i="11"/>
  <c r="J92" i="11"/>
  <c r="K92" i="11" s="1"/>
  <c r="I92" i="11"/>
  <c r="H92" i="11"/>
  <c r="M91" i="11"/>
  <c r="L91" i="11"/>
  <c r="J91" i="11"/>
  <c r="K91" i="11" s="1"/>
  <c r="I91" i="11"/>
  <c r="H91" i="11"/>
  <c r="M90" i="11"/>
  <c r="L90" i="11"/>
  <c r="J90" i="11"/>
  <c r="K90" i="11" s="1"/>
  <c r="I90" i="11"/>
  <c r="H90" i="11"/>
  <c r="M89" i="11"/>
  <c r="L89" i="11"/>
  <c r="J89" i="11"/>
  <c r="K89" i="11" s="1"/>
  <c r="I89" i="11"/>
  <c r="H89" i="11"/>
  <c r="M88" i="11"/>
  <c r="L88" i="11"/>
  <c r="J88" i="11"/>
  <c r="K88" i="11" s="1"/>
  <c r="I88" i="11"/>
  <c r="H88" i="11"/>
  <c r="M87" i="11"/>
  <c r="L87" i="11"/>
  <c r="J87" i="11"/>
  <c r="K87" i="11" s="1"/>
  <c r="I87" i="11"/>
  <c r="H87" i="11"/>
  <c r="M86" i="11"/>
  <c r="L86" i="11"/>
  <c r="J86" i="11"/>
  <c r="K86" i="11" s="1"/>
  <c r="I86" i="11"/>
  <c r="H86" i="11"/>
  <c r="M85" i="11"/>
  <c r="L85" i="11"/>
  <c r="J85" i="11"/>
  <c r="K85" i="11" s="1"/>
  <c r="I85" i="11"/>
  <c r="H85" i="11"/>
  <c r="M84" i="11"/>
  <c r="L84" i="11"/>
  <c r="J84" i="11"/>
  <c r="K84" i="11" s="1"/>
  <c r="I84" i="11"/>
  <c r="H84" i="11"/>
  <c r="M83" i="11"/>
  <c r="L83" i="11"/>
  <c r="J83" i="11"/>
  <c r="K83" i="11" s="1"/>
  <c r="I83" i="11"/>
  <c r="H83" i="11"/>
  <c r="M82" i="11"/>
  <c r="L82" i="11"/>
  <c r="J82" i="11"/>
  <c r="K82" i="11" s="1"/>
  <c r="I82" i="11"/>
  <c r="H82" i="11"/>
  <c r="M81" i="11"/>
  <c r="L81" i="11"/>
  <c r="J81" i="11"/>
  <c r="K81" i="11" s="1"/>
  <c r="I81" i="11"/>
  <c r="H81" i="11"/>
  <c r="M80" i="11"/>
  <c r="L80" i="11"/>
  <c r="J80" i="11"/>
  <c r="K80" i="11" s="1"/>
  <c r="I80" i="11"/>
  <c r="H80" i="11"/>
  <c r="M79" i="11"/>
  <c r="L79" i="11"/>
  <c r="J79" i="11"/>
  <c r="K79" i="11" s="1"/>
  <c r="I79" i="11"/>
  <c r="H79" i="11"/>
  <c r="M78" i="11"/>
  <c r="L78" i="11"/>
  <c r="J78" i="11"/>
  <c r="K78" i="11" s="1"/>
  <c r="I78" i="11"/>
  <c r="H78" i="11"/>
  <c r="M77" i="11"/>
  <c r="L77" i="11"/>
  <c r="J77" i="11"/>
  <c r="K77" i="11" s="1"/>
  <c r="I77" i="11"/>
  <c r="H77" i="11"/>
  <c r="M76" i="11"/>
  <c r="L76" i="11"/>
  <c r="J76" i="11"/>
  <c r="K76" i="11" s="1"/>
  <c r="I76" i="11"/>
  <c r="H76" i="11"/>
  <c r="M75" i="11"/>
  <c r="L75" i="11"/>
  <c r="J75" i="11"/>
  <c r="K75" i="11" s="1"/>
  <c r="I75" i="11"/>
  <c r="H75" i="11"/>
  <c r="M74" i="11"/>
  <c r="L74" i="11"/>
  <c r="J74" i="11"/>
  <c r="K74" i="11" s="1"/>
  <c r="I74" i="11"/>
  <c r="H74" i="11"/>
  <c r="M73" i="11"/>
  <c r="L73" i="11"/>
  <c r="J73" i="11"/>
  <c r="K73" i="11" s="1"/>
  <c r="I73" i="11"/>
  <c r="H73" i="11"/>
  <c r="M72" i="11"/>
  <c r="L72" i="11"/>
  <c r="J72" i="11"/>
  <c r="K72" i="11" s="1"/>
  <c r="I72" i="11"/>
  <c r="H72" i="11"/>
  <c r="M71" i="11"/>
  <c r="L71" i="11"/>
  <c r="J71" i="11"/>
  <c r="K71" i="11" s="1"/>
  <c r="I71" i="11"/>
  <c r="H71" i="11"/>
  <c r="M70" i="11"/>
  <c r="L70" i="11"/>
  <c r="J70" i="11"/>
  <c r="K70" i="11" s="1"/>
  <c r="I70" i="11"/>
  <c r="H70" i="11"/>
  <c r="M69" i="11"/>
  <c r="L69" i="11"/>
  <c r="J69" i="11"/>
  <c r="K69" i="11" s="1"/>
  <c r="I69" i="11"/>
  <c r="H69" i="11"/>
  <c r="M68" i="11"/>
  <c r="L68" i="11"/>
  <c r="J68" i="11"/>
  <c r="K68" i="11" s="1"/>
  <c r="I68" i="11"/>
  <c r="H68" i="11"/>
  <c r="M67" i="11"/>
  <c r="L67" i="11"/>
  <c r="J67" i="11"/>
  <c r="K67" i="11" s="1"/>
  <c r="I67" i="11"/>
  <c r="H67" i="11"/>
  <c r="M66" i="11"/>
  <c r="L66" i="11"/>
  <c r="J66" i="11"/>
  <c r="K66" i="11" s="1"/>
  <c r="I66" i="11"/>
  <c r="H66" i="11"/>
  <c r="M65" i="11"/>
  <c r="L65" i="11"/>
  <c r="J65" i="11"/>
  <c r="K65" i="11" s="1"/>
  <c r="I65" i="11"/>
  <c r="H65" i="11"/>
  <c r="M64" i="11"/>
  <c r="L64" i="11"/>
  <c r="J64" i="11"/>
  <c r="K64" i="11" s="1"/>
  <c r="I64" i="11"/>
  <c r="H64" i="11"/>
  <c r="M63" i="11"/>
  <c r="L63" i="11"/>
  <c r="J63" i="11"/>
  <c r="K63" i="11" s="1"/>
  <c r="I63" i="11"/>
  <c r="H63" i="11"/>
  <c r="M62" i="11"/>
  <c r="L62" i="11"/>
  <c r="J62" i="11"/>
  <c r="K62" i="11" s="1"/>
  <c r="I62" i="11"/>
  <c r="H62" i="11"/>
  <c r="M61" i="11"/>
  <c r="L61" i="11"/>
  <c r="J61" i="11"/>
  <c r="K61" i="11" s="1"/>
  <c r="I61" i="11"/>
  <c r="H61" i="11"/>
  <c r="M60" i="11"/>
  <c r="L60" i="11"/>
  <c r="J60" i="11"/>
  <c r="K60" i="11" s="1"/>
  <c r="I60" i="11"/>
  <c r="H60" i="11"/>
  <c r="M59" i="11"/>
  <c r="L59" i="11"/>
  <c r="J59" i="11"/>
  <c r="K59" i="11" s="1"/>
  <c r="I59" i="11"/>
  <c r="H59" i="11"/>
  <c r="M58" i="11"/>
  <c r="L58" i="11"/>
  <c r="J58" i="11"/>
  <c r="K58" i="11" s="1"/>
  <c r="I58" i="11"/>
  <c r="H58" i="11"/>
  <c r="M57" i="11"/>
  <c r="L57" i="11"/>
  <c r="J57" i="11"/>
  <c r="K57" i="11" s="1"/>
  <c r="I57" i="11"/>
  <c r="H57" i="11"/>
  <c r="M56" i="11"/>
  <c r="L56" i="11"/>
  <c r="J56" i="11"/>
  <c r="K56" i="11" s="1"/>
  <c r="I56" i="11"/>
  <c r="H56" i="11"/>
  <c r="M55" i="11"/>
  <c r="L55" i="11"/>
  <c r="J55" i="11"/>
  <c r="K55" i="11" s="1"/>
  <c r="I55" i="11"/>
  <c r="H55" i="11"/>
  <c r="M54" i="11"/>
  <c r="L54" i="11"/>
  <c r="J54" i="11"/>
  <c r="K54" i="11" s="1"/>
  <c r="I54" i="11"/>
  <c r="H54" i="11"/>
  <c r="M53" i="11"/>
  <c r="L53" i="11"/>
  <c r="J53" i="11"/>
  <c r="K53" i="11" s="1"/>
  <c r="I53" i="11"/>
  <c r="H53" i="11"/>
  <c r="M52" i="11"/>
  <c r="L52" i="11"/>
  <c r="J52" i="11"/>
  <c r="K52" i="11" s="1"/>
  <c r="I52" i="11"/>
  <c r="H52" i="11"/>
  <c r="M51" i="11"/>
  <c r="L51" i="11"/>
  <c r="J51" i="11"/>
  <c r="K51" i="11" s="1"/>
  <c r="I51" i="11"/>
  <c r="H51" i="11"/>
  <c r="M50" i="11"/>
  <c r="L50" i="11"/>
  <c r="J50" i="11"/>
  <c r="K50" i="11" s="1"/>
  <c r="I50" i="11"/>
  <c r="H50" i="11"/>
  <c r="M49" i="11"/>
  <c r="L49" i="11"/>
  <c r="J49" i="11"/>
  <c r="K49" i="11" s="1"/>
  <c r="I49" i="11"/>
  <c r="H49" i="11"/>
  <c r="M48" i="11"/>
  <c r="L48" i="11"/>
  <c r="J48" i="11"/>
  <c r="K48" i="11" s="1"/>
  <c r="I48" i="11"/>
  <c r="H48" i="11"/>
  <c r="M47" i="11"/>
  <c r="L47" i="11"/>
  <c r="J47" i="11"/>
  <c r="K47" i="11" s="1"/>
  <c r="I47" i="11"/>
  <c r="H47" i="11"/>
  <c r="M46" i="11"/>
  <c r="L46" i="11"/>
  <c r="J46" i="11"/>
  <c r="K46" i="11" s="1"/>
  <c r="I46" i="11"/>
  <c r="H46" i="11"/>
  <c r="M45" i="11"/>
  <c r="L45" i="11"/>
  <c r="J45" i="11"/>
  <c r="K45" i="11" s="1"/>
  <c r="I45" i="11"/>
  <c r="H45" i="11"/>
  <c r="M44" i="11"/>
  <c r="L44" i="11"/>
  <c r="J44" i="11"/>
  <c r="K44" i="11" s="1"/>
  <c r="I44" i="11"/>
  <c r="H44" i="11"/>
  <c r="M43" i="11"/>
  <c r="L43" i="11"/>
  <c r="J43" i="11"/>
  <c r="K43" i="11" s="1"/>
  <c r="I43" i="11"/>
  <c r="H43" i="11"/>
  <c r="M42" i="11"/>
  <c r="L42" i="11"/>
  <c r="J42" i="11"/>
  <c r="K42" i="11" s="1"/>
  <c r="I42" i="11"/>
  <c r="H42" i="11"/>
  <c r="M41" i="11"/>
  <c r="L41" i="11"/>
  <c r="J41" i="11"/>
  <c r="K41" i="11" s="1"/>
  <c r="I41" i="11"/>
  <c r="H41" i="11"/>
  <c r="M40" i="11"/>
  <c r="L40" i="11"/>
  <c r="J40" i="11"/>
  <c r="K40" i="11" s="1"/>
  <c r="I40" i="11"/>
  <c r="H40" i="11"/>
  <c r="M39" i="11"/>
  <c r="L39" i="11"/>
  <c r="J39" i="11"/>
  <c r="K39" i="11" s="1"/>
  <c r="I39" i="11"/>
  <c r="H39" i="11"/>
  <c r="M38" i="11"/>
  <c r="L38" i="11"/>
  <c r="J38" i="11"/>
  <c r="K38" i="11" s="1"/>
  <c r="I38" i="11"/>
  <c r="H38" i="11"/>
  <c r="M37" i="11"/>
  <c r="L37" i="11"/>
  <c r="J37" i="11"/>
  <c r="K37" i="11" s="1"/>
  <c r="I37" i="11"/>
  <c r="H37" i="11"/>
  <c r="M36" i="11"/>
  <c r="L36" i="11"/>
  <c r="J36" i="11"/>
  <c r="K36" i="11" s="1"/>
  <c r="I36" i="11"/>
  <c r="H36" i="11"/>
  <c r="M35" i="11"/>
  <c r="L35" i="11"/>
  <c r="J35" i="11"/>
  <c r="K35" i="11" s="1"/>
  <c r="I35" i="11"/>
  <c r="H35" i="11"/>
  <c r="M34" i="11"/>
  <c r="L34" i="11"/>
  <c r="J34" i="11"/>
  <c r="K34" i="11" s="1"/>
  <c r="I34" i="11"/>
  <c r="H34" i="11"/>
  <c r="M33" i="11"/>
  <c r="L33" i="11"/>
  <c r="J33" i="11"/>
  <c r="K33" i="11" s="1"/>
  <c r="I33" i="11"/>
  <c r="H33" i="11"/>
  <c r="M32" i="11"/>
  <c r="L32" i="11"/>
  <c r="J32" i="11"/>
  <c r="K32" i="11" s="1"/>
  <c r="I32" i="11"/>
  <c r="H32" i="11"/>
  <c r="M31" i="11"/>
  <c r="L31" i="11"/>
  <c r="J31" i="11"/>
  <c r="K31" i="11" s="1"/>
  <c r="I31" i="11"/>
  <c r="H31" i="11"/>
  <c r="M30" i="11"/>
  <c r="L30" i="11"/>
  <c r="J30" i="11"/>
  <c r="K30" i="11" s="1"/>
  <c r="I30" i="11"/>
  <c r="H30" i="11"/>
  <c r="M29" i="11"/>
  <c r="L29" i="11"/>
  <c r="J29" i="11"/>
  <c r="K29" i="11" s="1"/>
  <c r="I29" i="11"/>
  <c r="H29" i="11"/>
  <c r="M28" i="11"/>
  <c r="L28" i="11"/>
  <c r="J28" i="11"/>
  <c r="K28" i="11" s="1"/>
  <c r="I28" i="11"/>
  <c r="H28" i="11"/>
  <c r="M27" i="11"/>
  <c r="L27" i="11"/>
  <c r="J27" i="11"/>
  <c r="K27" i="11" s="1"/>
  <c r="I27" i="11"/>
  <c r="H27" i="11"/>
  <c r="M26" i="11"/>
  <c r="L26" i="11"/>
  <c r="J26" i="11"/>
  <c r="K26" i="11" s="1"/>
  <c r="I26" i="11"/>
  <c r="H26" i="11"/>
  <c r="M25" i="11"/>
  <c r="L25" i="11"/>
  <c r="J25" i="11"/>
  <c r="K25" i="11" s="1"/>
  <c r="I25" i="11"/>
  <c r="H25" i="11"/>
  <c r="M24" i="11"/>
  <c r="L24" i="11"/>
  <c r="J24" i="11"/>
  <c r="K24" i="11" s="1"/>
  <c r="I24" i="11"/>
  <c r="H24" i="11"/>
  <c r="M23" i="11"/>
  <c r="L23" i="11"/>
  <c r="K23" i="11"/>
  <c r="J23" i="11"/>
  <c r="I23" i="11"/>
  <c r="H23" i="11"/>
  <c r="M22" i="11"/>
  <c r="L22" i="11"/>
  <c r="J22" i="11"/>
  <c r="K22" i="11" s="1"/>
  <c r="I22" i="11"/>
  <c r="H22" i="11"/>
  <c r="M21" i="11"/>
  <c r="L21" i="11"/>
  <c r="J21" i="11"/>
  <c r="K21" i="11" s="1"/>
  <c r="I21" i="11"/>
  <c r="H21" i="11"/>
  <c r="M20" i="11"/>
  <c r="L20" i="11"/>
  <c r="K20" i="11"/>
  <c r="J20" i="11"/>
  <c r="I20" i="11"/>
  <c r="H20" i="11"/>
  <c r="M19" i="11"/>
  <c r="L19" i="11"/>
  <c r="J19" i="11"/>
  <c r="K19" i="11" s="1"/>
  <c r="I19" i="11"/>
  <c r="H19" i="11"/>
  <c r="M18" i="11"/>
  <c r="L18" i="11"/>
  <c r="J18" i="11"/>
  <c r="K18" i="11" s="1"/>
  <c r="I18" i="11"/>
  <c r="H18" i="11"/>
  <c r="M17" i="11"/>
  <c r="L17" i="11"/>
  <c r="J17" i="11"/>
  <c r="K17" i="11" s="1"/>
  <c r="I17" i="11"/>
  <c r="H17" i="11"/>
  <c r="M16" i="11"/>
  <c r="L16" i="11"/>
  <c r="J16" i="11"/>
  <c r="K16" i="11" s="1"/>
  <c r="I16" i="11"/>
  <c r="H16" i="11"/>
  <c r="M15" i="11"/>
  <c r="L15" i="11"/>
  <c r="J15" i="11"/>
  <c r="K15" i="11" s="1"/>
  <c r="I15" i="11"/>
  <c r="H15" i="11"/>
  <c r="M14" i="11"/>
  <c r="L14" i="11"/>
  <c r="K14" i="11"/>
  <c r="J14" i="11"/>
  <c r="I14" i="11"/>
  <c r="H14" i="11"/>
  <c r="M13" i="11"/>
  <c r="L13" i="11"/>
  <c r="J13" i="11"/>
  <c r="K13" i="11" s="1"/>
  <c r="I13" i="11"/>
  <c r="H13" i="11"/>
  <c r="M12" i="11"/>
  <c r="L12" i="11"/>
  <c r="J12" i="11"/>
  <c r="K12" i="11" s="1"/>
  <c r="I12" i="11"/>
  <c r="H12" i="11"/>
  <c r="M11" i="11"/>
  <c r="L11" i="11"/>
  <c r="J11" i="11"/>
  <c r="K11" i="11" s="1"/>
  <c r="I11" i="11"/>
  <c r="H11" i="11"/>
  <c r="M10" i="11"/>
  <c r="L10" i="11"/>
  <c r="J10" i="11"/>
  <c r="K10" i="11" s="1"/>
  <c r="I10" i="11"/>
  <c r="H10" i="11"/>
  <c r="M9" i="11"/>
  <c r="L9" i="11"/>
  <c r="J9" i="11"/>
  <c r="K9" i="11" s="1"/>
  <c r="I9" i="11"/>
  <c r="H9" i="11"/>
  <c r="M8" i="11"/>
  <c r="L8" i="11"/>
  <c r="J8" i="11"/>
  <c r="K8" i="11" s="1"/>
  <c r="I8" i="11"/>
  <c r="H8" i="11"/>
  <c r="M7" i="11"/>
  <c r="L7" i="11"/>
  <c r="J7" i="11"/>
  <c r="K7" i="11" s="1"/>
  <c r="I7" i="11"/>
  <c r="H7" i="11"/>
  <c r="M6" i="11"/>
  <c r="L6" i="11"/>
  <c r="J6" i="11"/>
  <c r="K6" i="11" s="1"/>
  <c r="I6" i="11"/>
  <c r="H6" i="11"/>
  <c r="M5" i="11"/>
  <c r="L5" i="11"/>
  <c r="J5" i="11"/>
  <c r="K5" i="11" s="1"/>
  <c r="I5" i="11"/>
  <c r="H5" i="11"/>
  <c r="M4" i="11"/>
  <c r="L4" i="11"/>
  <c r="K4" i="11"/>
  <c r="J4" i="11"/>
  <c r="I4" i="11"/>
  <c r="H4" i="11"/>
  <c r="M3" i="11"/>
  <c r="L3" i="11"/>
  <c r="J3" i="11"/>
  <c r="K3" i="11" s="1"/>
  <c r="I3" i="11"/>
  <c r="H3" i="11"/>
  <c r="M2" i="11"/>
  <c r="D44" i="16" s="1"/>
  <c r="L2" i="11"/>
  <c r="J2" i="11"/>
  <c r="K2" i="11" s="1"/>
  <c r="I2" i="11"/>
  <c r="H2" i="11"/>
  <c r="F21" i="9"/>
  <c r="E21" i="9"/>
  <c r="D21" i="9"/>
  <c r="C21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B6" i="9"/>
  <c r="D33" i="8"/>
  <c r="C33" i="8"/>
  <c r="E33" i="8" s="1"/>
  <c r="B10" i="1" s="1"/>
  <c r="D32" i="8"/>
  <c r="C32" i="8"/>
  <c r="E32" i="8" s="1"/>
  <c r="D31" i="8"/>
  <c r="C31" i="8"/>
  <c r="E31" i="8" s="1"/>
  <c r="D30" i="8"/>
  <c r="C30" i="8"/>
  <c r="E30" i="8" s="1"/>
  <c r="D29" i="8"/>
  <c r="C29" i="8"/>
  <c r="E29" i="8" s="1"/>
  <c r="D28" i="8"/>
  <c r="C28" i="8"/>
  <c r="E28" i="8" s="1"/>
  <c r="D27" i="8"/>
  <c r="C27" i="8"/>
  <c r="E27" i="8" s="1"/>
  <c r="D26" i="8"/>
  <c r="C26" i="8"/>
  <c r="E26" i="8" s="1"/>
  <c r="D25" i="8"/>
  <c r="C25" i="8"/>
  <c r="E25" i="8" s="1"/>
  <c r="D24" i="8"/>
  <c r="C24" i="8"/>
  <c r="E24" i="8" s="1"/>
  <c r="D23" i="8"/>
  <c r="C23" i="8"/>
  <c r="E23" i="8" s="1"/>
  <c r="D22" i="8"/>
  <c r="C22" i="8"/>
  <c r="E22" i="8" s="1"/>
  <c r="D21" i="8"/>
  <c r="C21" i="8"/>
  <c r="E21" i="8" s="1"/>
  <c r="D17" i="8"/>
  <c r="C17" i="8"/>
  <c r="E17" i="8" s="1"/>
  <c r="D16" i="8"/>
  <c r="C16" i="8"/>
  <c r="E16" i="8" s="1"/>
  <c r="D15" i="8"/>
  <c r="C15" i="8"/>
  <c r="E15" i="8" s="1"/>
  <c r="D14" i="8"/>
  <c r="C14" i="8"/>
  <c r="E14" i="8" s="1"/>
  <c r="D13" i="8"/>
  <c r="C13" i="8"/>
  <c r="E13" i="8" s="1"/>
  <c r="D12" i="8"/>
  <c r="C12" i="8"/>
  <c r="E12" i="8" s="1"/>
  <c r="D11" i="8"/>
  <c r="C11" i="8"/>
  <c r="E11" i="8" s="1"/>
  <c r="D10" i="8"/>
  <c r="C10" i="8"/>
  <c r="E10" i="8" s="1"/>
  <c r="B20" i="1" s="1"/>
  <c r="N6" i="8"/>
  <c r="J6" i="8"/>
  <c r="F6" i="8"/>
  <c r="B6" i="8"/>
  <c r="P196" i="7"/>
  <c r="O196" i="7"/>
  <c r="N196" i="7"/>
  <c r="M196" i="7"/>
  <c r="L196" i="7"/>
  <c r="P195" i="7"/>
  <c r="O195" i="7"/>
  <c r="N195" i="7"/>
  <c r="M195" i="7"/>
  <c r="L195" i="7"/>
  <c r="P194" i="7"/>
  <c r="O194" i="7"/>
  <c r="N194" i="7"/>
  <c r="M194" i="7"/>
  <c r="L194" i="7"/>
  <c r="P193" i="7"/>
  <c r="O193" i="7"/>
  <c r="N193" i="7"/>
  <c r="M193" i="7"/>
  <c r="L193" i="7"/>
  <c r="P192" i="7"/>
  <c r="O192" i="7"/>
  <c r="N192" i="7"/>
  <c r="M192" i="7"/>
  <c r="L192" i="7"/>
  <c r="P191" i="7"/>
  <c r="O191" i="7"/>
  <c r="N191" i="7"/>
  <c r="M191" i="7"/>
  <c r="L191" i="7"/>
  <c r="P190" i="7"/>
  <c r="O190" i="7"/>
  <c r="N190" i="7"/>
  <c r="M190" i="7"/>
  <c r="L190" i="7"/>
  <c r="P189" i="7"/>
  <c r="O189" i="7"/>
  <c r="N189" i="7"/>
  <c r="M189" i="7"/>
  <c r="L189" i="7"/>
  <c r="P188" i="7"/>
  <c r="O188" i="7"/>
  <c r="N188" i="7"/>
  <c r="M188" i="7"/>
  <c r="L188" i="7"/>
  <c r="P187" i="7"/>
  <c r="O187" i="7"/>
  <c r="N187" i="7"/>
  <c r="M187" i="7"/>
  <c r="L187" i="7"/>
  <c r="P186" i="7"/>
  <c r="O186" i="7"/>
  <c r="N186" i="7"/>
  <c r="M186" i="7"/>
  <c r="L186" i="7"/>
  <c r="P185" i="7"/>
  <c r="O185" i="7"/>
  <c r="N185" i="7"/>
  <c r="M185" i="7"/>
  <c r="L185" i="7"/>
  <c r="P184" i="7"/>
  <c r="O184" i="7"/>
  <c r="N184" i="7"/>
  <c r="M184" i="7"/>
  <c r="L184" i="7"/>
  <c r="P183" i="7"/>
  <c r="O183" i="7"/>
  <c r="N183" i="7"/>
  <c r="M183" i="7"/>
  <c r="L183" i="7"/>
  <c r="P182" i="7"/>
  <c r="O182" i="7"/>
  <c r="N182" i="7"/>
  <c r="M182" i="7"/>
  <c r="L182" i="7"/>
  <c r="P181" i="7"/>
  <c r="O181" i="7"/>
  <c r="N181" i="7"/>
  <c r="M181" i="7"/>
  <c r="L181" i="7"/>
  <c r="P180" i="7"/>
  <c r="O180" i="7"/>
  <c r="N180" i="7"/>
  <c r="M180" i="7"/>
  <c r="L180" i="7"/>
  <c r="P179" i="7"/>
  <c r="O179" i="7"/>
  <c r="N179" i="7"/>
  <c r="M179" i="7"/>
  <c r="L179" i="7"/>
  <c r="P178" i="7"/>
  <c r="O178" i="7"/>
  <c r="N178" i="7"/>
  <c r="M178" i="7"/>
  <c r="L178" i="7"/>
  <c r="P177" i="7"/>
  <c r="O177" i="7"/>
  <c r="N177" i="7"/>
  <c r="M177" i="7"/>
  <c r="L177" i="7"/>
  <c r="P176" i="7"/>
  <c r="O176" i="7"/>
  <c r="N176" i="7"/>
  <c r="M176" i="7"/>
  <c r="L176" i="7"/>
  <c r="P175" i="7"/>
  <c r="O175" i="7"/>
  <c r="N175" i="7"/>
  <c r="M175" i="7"/>
  <c r="L175" i="7"/>
  <c r="P174" i="7"/>
  <c r="O174" i="7"/>
  <c r="N174" i="7"/>
  <c r="M174" i="7"/>
  <c r="L174" i="7"/>
  <c r="P173" i="7"/>
  <c r="O173" i="7"/>
  <c r="N173" i="7"/>
  <c r="M173" i="7"/>
  <c r="L173" i="7"/>
  <c r="P172" i="7"/>
  <c r="O172" i="7"/>
  <c r="N172" i="7"/>
  <c r="M172" i="7"/>
  <c r="L172" i="7"/>
  <c r="P171" i="7"/>
  <c r="O171" i="7"/>
  <c r="N171" i="7"/>
  <c r="M171" i="7"/>
  <c r="L171" i="7"/>
  <c r="P170" i="7"/>
  <c r="O170" i="7"/>
  <c r="N170" i="7"/>
  <c r="M170" i="7"/>
  <c r="L170" i="7"/>
  <c r="P169" i="7"/>
  <c r="O169" i="7"/>
  <c r="N169" i="7"/>
  <c r="M169" i="7"/>
  <c r="L169" i="7"/>
  <c r="P168" i="7"/>
  <c r="O168" i="7"/>
  <c r="N168" i="7"/>
  <c r="M168" i="7"/>
  <c r="L168" i="7"/>
  <c r="P167" i="7"/>
  <c r="O167" i="7"/>
  <c r="N167" i="7"/>
  <c r="M167" i="7"/>
  <c r="L167" i="7"/>
  <c r="P166" i="7"/>
  <c r="O166" i="7"/>
  <c r="N166" i="7"/>
  <c r="M166" i="7"/>
  <c r="L166" i="7"/>
  <c r="P165" i="7"/>
  <c r="O165" i="7"/>
  <c r="N165" i="7"/>
  <c r="M165" i="7"/>
  <c r="L165" i="7"/>
  <c r="P164" i="7"/>
  <c r="O164" i="7"/>
  <c r="N164" i="7"/>
  <c r="M164" i="7"/>
  <c r="L164" i="7"/>
  <c r="P163" i="7"/>
  <c r="O163" i="7"/>
  <c r="N163" i="7"/>
  <c r="M163" i="7"/>
  <c r="L163" i="7"/>
  <c r="P162" i="7"/>
  <c r="O162" i="7"/>
  <c r="N162" i="7"/>
  <c r="M162" i="7"/>
  <c r="L162" i="7"/>
  <c r="P161" i="7"/>
  <c r="O161" i="7"/>
  <c r="N161" i="7"/>
  <c r="M161" i="7"/>
  <c r="L161" i="7"/>
  <c r="P160" i="7"/>
  <c r="O160" i="7"/>
  <c r="N160" i="7"/>
  <c r="M160" i="7"/>
  <c r="L160" i="7"/>
  <c r="P159" i="7"/>
  <c r="O159" i="7"/>
  <c r="N159" i="7"/>
  <c r="M159" i="7"/>
  <c r="L159" i="7"/>
  <c r="P158" i="7"/>
  <c r="O158" i="7"/>
  <c r="N158" i="7"/>
  <c r="M158" i="7"/>
  <c r="L158" i="7"/>
  <c r="P157" i="7"/>
  <c r="O157" i="7"/>
  <c r="N157" i="7"/>
  <c r="M157" i="7"/>
  <c r="L157" i="7"/>
  <c r="P156" i="7"/>
  <c r="O156" i="7"/>
  <c r="N156" i="7"/>
  <c r="M156" i="7"/>
  <c r="L156" i="7"/>
  <c r="P155" i="7"/>
  <c r="O155" i="7"/>
  <c r="N155" i="7"/>
  <c r="M155" i="7"/>
  <c r="L155" i="7"/>
  <c r="P154" i="7"/>
  <c r="O154" i="7"/>
  <c r="N154" i="7"/>
  <c r="M154" i="7"/>
  <c r="L154" i="7"/>
  <c r="P153" i="7"/>
  <c r="O153" i="7"/>
  <c r="N153" i="7"/>
  <c r="M153" i="7"/>
  <c r="L153" i="7"/>
  <c r="P152" i="7"/>
  <c r="O152" i="7"/>
  <c r="N152" i="7"/>
  <c r="M152" i="7"/>
  <c r="L152" i="7"/>
  <c r="P151" i="7"/>
  <c r="O151" i="7"/>
  <c r="N151" i="7"/>
  <c r="M151" i="7"/>
  <c r="L151" i="7"/>
  <c r="P150" i="7"/>
  <c r="O150" i="7"/>
  <c r="N150" i="7"/>
  <c r="M150" i="7"/>
  <c r="L150" i="7"/>
  <c r="P149" i="7"/>
  <c r="O149" i="7"/>
  <c r="N149" i="7"/>
  <c r="M149" i="7"/>
  <c r="L149" i="7"/>
  <c r="P148" i="7"/>
  <c r="O148" i="7"/>
  <c r="N148" i="7"/>
  <c r="M148" i="7"/>
  <c r="L148" i="7"/>
  <c r="P147" i="7"/>
  <c r="O147" i="7"/>
  <c r="N147" i="7"/>
  <c r="M147" i="7"/>
  <c r="L147" i="7"/>
  <c r="P146" i="7"/>
  <c r="O146" i="7"/>
  <c r="N146" i="7"/>
  <c r="M146" i="7"/>
  <c r="L146" i="7"/>
  <c r="P145" i="7"/>
  <c r="O145" i="7"/>
  <c r="N145" i="7"/>
  <c r="M145" i="7"/>
  <c r="L145" i="7"/>
  <c r="P144" i="7"/>
  <c r="O144" i="7"/>
  <c r="N144" i="7"/>
  <c r="M144" i="7"/>
  <c r="L144" i="7"/>
  <c r="P143" i="7"/>
  <c r="O143" i="7"/>
  <c r="N143" i="7"/>
  <c r="M143" i="7"/>
  <c r="L143" i="7"/>
  <c r="P142" i="7"/>
  <c r="O142" i="7"/>
  <c r="N142" i="7"/>
  <c r="M142" i="7"/>
  <c r="L142" i="7"/>
  <c r="P141" i="7"/>
  <c r="O141" i="7"/>
  <c r="N141" i="7"/>
  <c r="M141" i="7"/>
  <c r="L141" i="7"/>
  <c r="P140" i="7"/>
  <c r="O140" i="7"/>
  <c r="N140" i="7"/>
  <c r="M140" i="7"/>
  <c r="L140" i="7"/>
  <c r="P139" i="7"/>
  <c r="O139" i="7"/>
  <c r="N139" i="7"/>
  <c r="M139" i="7"/>
  <c r="L139" i="7"/>
  <c r="P138" i="7"/>
  <c r="O138" i="7"/>
  <c r="N138" i="7"/>
  <c r="M138" i="7"/>
  <c r="L138" i="7"/>
  <c r="P137" i="7"/>
  <c r="O137" i="7"/>
  <c r="N137" i="7"/>
  <c r="M137" i="7"/>
  <c r="L137" i="7"/>
  <c r="P136" i="7"/>
  <c r="O136" i="7"/>
  <c r="N136" i="7"/>
  <c r="M136" i="7"/>
  <c r="L136" i="7"/>
  <c r="P135" i="7"/>
  <c r="O135" i="7"/>
  <c r="N135" i="7"/>
  <c r="M135" i="7"/>
  <c r="L135" i="7"/>
  <c r="P134" i="7"/>
  <c r="O134" i="7"/>
  <c r="N134" i="7"/>
  <c r="M134" i="7"/>
  <c r="L134" i="7"/>
  <c r="P133" i="7"/>
  <c r="O133" i="7"/>
  <c r="N133" i="7"/>
  <c r="M133" i="7"/>
  <c r="L133" i="7"/>
  <c r="P132" i="7"/>
  <c r="O132" i="7"/>
  <c r="N132" i="7"/>
  <c r="M132" i="7"/>
  <c r="L132" i="7"/>
  <c r="P131" i="7"/>
  <c r="O131" i="7"/>
  <c r="N131" i="7"/>
  <c r="M131" i="7"/>
  <c r="L131" i="7"/>
  <c r="P130" i="7"/>
  <c r="O130" i="7"/>
  <c r="N130" i="7"/>
  <c r="M130" i="7"/>
  <c r="L130" i="7"/>
  <c r="P129" i="7"/>
  <c r="O129" i="7"/>
  <c r="N129" i="7"/>
  <c r="M129" i="7"/>
  <c r="L129" i="7"/>
  <c r="P128" i="7"/>
  <c r="O128" i="7"/>
  <c r="N128" i="7"/>
  <c r="M128" i="7"/>
  <c r="L128" i="7"/>
  <c r="P127" i="7"/>
  <c r="O127" i="7"/>
  <c r="N127" i="7"/>
  <c r="M127" i="7"/>
  <c r="L127" i="7"/>
  <c r="P126" i="7"/>
  <c r="O126" i="7"/>
  <c r="N126" i="7"/>
  <c r="M126" i="7"/>
  <c r="L126" i="7"/>
  <c r="P125" i="7"/>
  <c r="O125" i="7"/>
  <c r="N125" i="7"/>
  <c r="M125" i="7"/>
  <c r="L125" i="7"/>
  <c r="P124" i="7"/>
  <c r="O124" i="7"/>
  <c r="N124" i="7"/>
  <c r="M124" i="7"/>
  <c r="L124" i="7"/>
  <c r="P123" i="7"/>
  <c r="O123" i="7"/>
  <c r="N123" i="7"/>
  <c r="M123" i="7"/>
  <c r="L123" i="7"/>
  <c r="P122" i="7"/>
  <c r="O122" i="7"/>
  <c r="N122" i="7"/>
  <c r="M122" i="7"/>
  <c r="L122" i="7"/>
  <c r="P121" i="7"/>
  <c r="O121" i="7"/>
  <c r="N121" i="7"/>
  <c r="M121" i="7"/>
  <c r="L121" i="7"/>
  <c r="P120" i="7"/>
  <c r="O120" i="7"/>
  <c r="N120" i="7"/>
  <c r="M120" i="7"/>
  <c r="L120" i="7"/>
  <c r="P119" i="7"/>
  <c r="O119" i="7"/>
  <c r="N119" i="7"/>
  <c r="M119" i="7"/>
  <c r="L119" i="7"/>
  <c r="P118" i="7"/>
  <c r="O118" i="7"/>
  <c r="N118" i="7"/>
  <c r="M118" i="7"/>
  <c r="L118" i="7"/>
  <c r="P117" i="7"/>
  <c r="O117" i="7"/>
  <c r="N117" i="7"/>
  <c r="M117" i="7"/>
  <c r="L117" i="7"/>
  <c r="P116" i="7"/>
  <c r="O116" i="7"/>
  <c r="N116" i="7"/>
  <c r="M116" i="7"/>
  <c r="L116" i="7"/>
  <c r="P115" i="7"/>
  <c r="O115" i="7"/>
  <c r="N115" i="7"/>
  <c r="M115" i="7"/>
  <c r="L115" i="7"/>
  <c r="P114" i="7"/>
  <c r="O114" i="7"/>
  <c r="N114" i="7"/>
  <c r="M114" i="7"/>
  <c r="L114" i="7"/>
  <c r="P113" i="7"/>
  <c r="O113" i="7"/>
  <c r="N113" i="7"/>
  <c r="M113" i="7"/>
  <c r="L113" i="7"/>
  <c r="P112" i="7"/>
  <c r="O112" i="7"/>
  <c r="N112" i="7"/>
  <c r="M112" i="7"/>
  <c r="L112" i="7"/>
  <c r="P111" i="7"/>
  <c r="O111" i="7"/>
  <c r="N111" i="7"/>
  <c r="M111" i="7"/>
  <c r="L111" i="7"/>
  <c r="P110" i="7"/>
  <c r="O110" i="7"/>
  <c r="N110" i="7"/>
  <c r="M110" i="7"/>
  <c r="L110" i="7"/>
  <c r="P109" i="7"/>
  <c r="O109" i="7"/>
  <c r="N109" i="7"/>
  <c r="M109" i="7"/>
  <c r="L109" i="7"/>
  <c r="P108" i="7"/>
  <c r="O108" i="7"/>
  <c r="N108" i="7"/>
  <c r="M108" i="7"/>
  <c r="L108" i="7"/>
  <c r="P107" i="7"/>
  <c r="O107" i="7"/>
  <c r="N107" i="7"/>
  <c r="M107" i="7"/>
  <c r="L107" i="7"/>
  <c r="P106" i="7"/>
  <c r="O106" i="7"/>
  <c r="N106" i="7"/>
  <c r="M106" i="7"/>
  <c r="L106" i="7"/>
  <c r="P105" i="7"/>
  <c r="O105" i="7"/>
  <c r="N105" i="7"/>
  <c r="M105" i="7"/>
  <c r="L105" i="7"/>
  <c r="P104" i="7"/>
  <c r="O104" i="7"/>
  <c r="N104" i="7"/>
  <c r="M104" i="7"/>
  <c r="L104" i="7"/>
  <c r="P103" i="7"/>
  <c r="O103" i="7"/>
  <c r="N103" i="7"/>
  <c r="M103" i="7"/>
  <c r="L103" i="7"/>
  <c r="P102" i="7"/>
  <c r="O102" i="7"/>
  <c r="N102" i="7"/>
  <c r="M102" i="7"/>
  <c r="L102" i="7"/>
  <c r="P101" i="7"/>
  <c r="O101" i="7"/>
  <c r="N101" i="7"/>
  <c r="M101" i="7"/>
  <c r="L101" i="7"/>
  <c r="P100" i="7"/>
  <c r="O100" i="7"/>
  <c r="N100" i="7"/>
  <c r="M100" i="7"/>
  <c r="L100" i="7"/>
  <c r="P99" i="7"/>
  <c r="O99" i="7"/>
  <c r="N99" i="7"/>
  <c r="M99" i="7"/>
  <c r="L99" i="7"/>
  <c r="P98" i="7"/>
  <c r="O98" i="7"/>
  <c r="N98" i="7"/>
  <c r="M98" i="7"/>
  <c r="L98" i="7"/>
  <c r="P97" i="7"/>
  <c r="O97" i="7"/>
  <c r="N97" i="7"/>
  <c r="M97" i="7"/>
  <c r="L97" i="7"/>
  <c r="P96" i="7"/>
  <c r="O96" i="7"/>
  <c r="N96" i="7"/>
  <c r="M96" i="7"/>
  <c r="L96" i="7"/>
  <c r="P95" i="7"/>
  <c r="O95" i="7"/>
  <c r="N95" i="7"/>
  <c r="M95" i="7"/>
  <c r="L95" i="7"/>
  <c r="P94" i="7"/>
  <c r="O94" i="7"/>
  <c r="N94" i="7"/>
  <c r="M94" i="7"/>
  <c r="L94" i="7"/>
  <c r="P93" i="7"/>
  <c r="O93" i="7"/>
  <c r="N93" i="7"/>
  <c r="M93" i="7"/>
  <c r="L93" i="7"/>
  <c r="P92" i="7"/>
  <c r="O92" i="7"/>
  <c r="N92" i="7"/>
  <c r="M92" i="7"/>
  <c r="L92" i="7"/>
  <c r="P91" i="7"/>
  <c r="O91" i="7"/>
  <c r="N91" i="7"/>
  <c r="M91" i="7"/>
  <c r="L91" i="7"/>
  <c r="P90" i="7"/>
  <c r="O90" i="7"/>
  <c r="N90" i="7"/>
  <c r="M90" i="7"/>
  <c r="L90" i="7"/>
  <c r="P89" i="7"/>
  <c r="O89" i="7"/>
  <c r="N89" i="7"/>
  <c r="M89" i="7"/>
  <c r="L89" i="7"/>
  <c r="P88" i="7"/>
  <c r="O88" i="7"/>
  <c r="N88" i="7"/>
  <c r="M88" i="7"/>
  <c r="L88" i="7"/>
  <c r="P87" i="7"/>
  <c r="O87" i="7"/>
  <c r="N87" i="7"/>
  <c r="M87" i="7"/>
  <c r="L87" i="7"/>
  <c r="P86" i="7"/>
  <c r="O86" i="7"/>
  <c r="N86" i="7"/>
  <c r="M86" i="7"/>
  <c r="L86" i="7"/>
  <c r="P85" i="7"/>
  <c r="O85" i="7"/>
  <c r="N85" i="7"/>
  <c r="M85" i="7"/>
  <c r="J38" i="3" s="1"/>
  <c r="L85" i="7"/>
  <c r="P84" i="7"/>
  <c r="O84" i="7"/>
  <c r="N84" i="7"/>
  <c r="M84" i="7"/>
  <c r="L84" i="7"/>
  <c r="P83" i="7"/>
  <c r="O83" i="7"/>
  <c r="N83" i="7"/>
  <c r="M83" i="7"/>
  <c r="L83" i="7"/>
  <c r="P82" i="7"/>
  <c r="O82" i="7"/>
  <c r="N82" i="7"/>
  <c r="M82" i="7"/>
  <c r="L82" i="7"/>
  <c r="P81" i="7"/>
  <c r="O81" i="7"/>
  <c r="N81" i="7"/>
  <c r="M81" i="7"/>
  <c r="L81" i="7"/>
  <c r="P80" i="7"/>
  <c r="O80" i="7"/>
  <c r="N80" i="7"/>
  <c r="M80" i="7"/>
  <c r="L80" i="7"/>
  <c r="P79" i="7"/>
  <c r="O79" i="7"/>
  <c r="N79" i="7"/>
  <c r="M79" i="7"/>
  <c r="L79" i="7"/>
  <c r="P78" i="7"/>
  <c r="O78" i="7"/>
  <c r="N78" i="7"/>
  <c r="M78" i="7"/>
  <c r="L78" i="7"/>
  <c r="P77" i="7"/>
  <c r="O77" i="7"/>
  <c r="N77" i="7"/>
  <c r="M77" i="7"/>
  <c r="L77" i="7"/>
  <c r="P76" i="7"/>
  <c r="O76" i="7"/>
  <c r="N76" i="7"/>
  <c r="M76" i="7"/>
  <c r="L76" i="7"/>
  <c r="P75" i="7"/>
  <c r="O75" i="7"/>
  <c r="N75" i="7"/>
  <c r="M75" i="7"/>
  <c r="L75" i="7"/>
  <c r="P74" i="7"/>
  <c r="O74" i="7"/>
  <c r="N74" i="7"/>
  <c r="M74" i="7"/>
  <c r="L74" i="7"/>
  <c r="P73" i="7"/>
  <c r="O73" i="7"/>
  <c r="N73" i="7"/>
  <c r="M73" i="7"/>
  <c r="L73" i="7"/>
  <c r="P72" i="7"/>
  <c r="O72" i="7"/>
  <c r="N72" i="7"/>
  <c r="M72" i="7"/>
  <c r="L72" i="7"/>
  <c r="P71" i="7"/>
  <c r="O71" i="7"/>
  <c r="N71" i="7"/>
  <c r="M71" i="7"/>
  <c r="L71" i="7"/>
  <c r="P70" i="7"/>
  <c r="O70" i="7"/>
  <c r="N70" i="7"/>
  <c r="M70" i="7"/>
  <c r="L70" i="7"/>
  <c r="P69" i="7"/>
  <c r="O69" i="7"/>
  <c r="N69" i="7"/>
  <c r="M69" i="7"/>
  <c r="L69" i="7"/>
  <c r="P68" i="7"/>
  <c r="O68" i="7"/>
  <c r="N68" i="7"/>
  <c r="M68" i="7"/>
  <c r="L68" i="7"/>
  <c r="P67" i="7"/>
  <c r="O67" i="7"/>
  <c r="N67" i="7"/>
  <c r="M67" i="7"/>
  <c r="J39" i="3" s="1"/>
  <c r="L67" i="7"/>
  <c r="P66" i="7"/>
  <c r="O66" i="7"/>
  <c r="N66" i="7"/>
  <c r="M66" i="7"/>
  <c r="L66" i="7"/>
  <c r="P65" i="7"/>
  <c r="O65" i="7"/>
  <c r="N65" i="7"/>
  <c r="M65" i="7"/>
  <c r="L65" i="7"/>
  <c r="P64" i="7"/>
  <c r="O64" i="7"/>
  <c r="N64" i="7"/>
  <c r="M64" i="7"/>
  <c r="L64" i="7"/>
  <c r="P63" i="7"/>
  <c r="O63" i="7"/>
  <c r="N63" i="7"/>
  <c r="M63" i="7"/>
  <c r="L63" i="7"/>
  <c r="P62" i="7"/>
  <c r="O62" i="7"/>
  <c r="N62" i="7"/>
  <c r="M62" i="7"/>
  <c r="L62" i="7"/>
  <c r="P61" i="7"/>
  <c r="O61" i="7"/>
  <c r="N61" i="7"/>
  <c r="M61" i="7"/>
  <c r="L61" i="7"/>
  <c r="P60" i="7"/>
  <c r="O60" i="7"/>
  <c r="N60" i="7"/>
  <c r="M60" i="7"/>
  <c r="L60" i="7"/>
  <c r="P59" i="7"/>
  <c r="O59" i="7"/>
  <c r="F20" i="9" s="1"/>
  <c r="N59" i="7"/>
  <c r="M59" i="7"/>
  <c r="L59" i="7"/>
  <c r="P58" i="7"/>
  <c r="O58" i="7"/>
  <c r="N58" i="7"/>
  <c r="M58" i="7"/>
  <c r="L58" i="7"/>
  <c r="P57" i="7"/>
  <c r="O57" i="7"/>
  <c r="N57" i="7"/>
  <c r="M57" i="7"/>
  <c r="L57" i="7"/>
  <c r="P56" i="7"/>
  <c r="O56" i="7"/>
  <c r="N56" i="7"/>
  <c r="M56" i="7"/>
  <c r="L56" i="7"/>
  <c r="P55" i="7"/>
  <c r="O55" i="7"/>
  <c r="N55" i="7"/>
  <c r="M55" i="7"/>
  <c r="L55" i="7"/>
  <c r="P54" i="7"/>
  <c r="O54" i="7"/>
  <c r="N54" i="7"/>
  <c r="M54" i="7"/>
  <c r="L54" i="7"/>
  <c r="P53" i="7"/>
  <c r="O53" i="7"/>
  <c r="N53" i="7"/>
  <c r="M53" i="7"/>
  <c r="L53" i="7"/>
  <c r="P52" i="7"/>
  <c r="O52" i="7"/>
  <c r="N52" i="7"/>
  <c r="M52" i="7"/>
  <c r="L52" i="7"/>
  <c r="P51" i="7"/>
  <c r="O51" i="7"/>
  <c r="N51" i="7"/>
  <c r="M51" i="7"/>
  <c r="L51" i="7"/>
  <c r="P50" i="7"/>
  <c r="O50" i="7"/>
  <c r="N50" i="7"/>
  <c r="M50" i="7"/>
  <c r="L50" i="7"/>
  <c r="P49" i="7"/>
  <c r="O49" i="7"/>
  <c r="N49" i="7"/>
  <c r="M49" i="7"/>
  <c r="L49" i="7"/>
  <c r="P48" i="7"/>
  <c r="O48" i="7"/>
  <c r="N48" i="7"/>
  <c r="M48" i="7"/>
  <c r="L48" i="7"/>
  <c r="P47" i="7"/>
  <c r="O47" i="7"/>
  <c r="N47" i="7"/>
  <c r="M47" i="7"/>
  <c r="L47" i="7"/>
  <c r="P46" i="7"/>
  <c r="O46" i="7"/>
  <c r="N46" i="7"/>
  <c r="M46" i="7"/>
  <c r="L46" i="7"/>
  <c r="P45" i="7"/>
  <c r="O45" i="7"/>
  <c r="N45" i="7"/>
  <c r="M45" i="7"/>
  <c r="L45" i="7"/>
  <c r="P44" i="7"/>
  <c r="O44" i="7"/>
  <c r="N44" i="7"/>
  <c r="M44" i="7"/>
  <c r="L44" i="7"/>
  <c r="P43" i="7"/>
  <c r="O43" i="7"/>
  <c r="N43" i="7"/>
  <c r="M43" i="7"/>
  <c r="L43" i="7"/>
  <c r="P42" i="7"/>
  <c r="O42" i="7"/>
  <c r="N42" i="7"/>
  <c r="M42" i="7"/>
  <c r="L42" i="7"/>
  <c r="P41" i="7"/>
  <c r="O41" i="7"/>
  <c r="N41" i="7"/>
  <c r="M41" i="7"/>
  <c r="L41" i="7"/>
  <c r="P40" i="7"/>
  <c r="O40" i="7"/>
  <c r="N40" i="7"/>
  <c r="M40" i="7"/>
  <c r="L40" i="7"/>
  <c r="P39" i="7"/>
  <c r="O39" i="7"/>
  <c r="N39" i="7"/>
  <c r="M39" i="7"/>
  <c r="L39" i="7"/>
  <c r="P38" i="7"/>
  <c r="O38" i="7"/>
  <c r="N38" i="7"/>
  <c r="M38" i="7"/>
  <c r="L38" i="7"/>
  <c r="P37" i="7"/>
  <c r="O37" i="7"/>
  <c r="N37" i="7"/>
  <c r="M37" i="7"/>
  <c r="L37" i="7"/>
  <c r="P36" i="7"/>
  <c r="O36" i="7"/>
  <c r="N36" i="7"/>
  <c r="M36" i="7"/>
  <c r="L36" i="7"/>
  <c r="P35" i="7"/>
  <c r="O35" i="7"/>
  <c r="N35" i="7"/>
  <c r="M35" i="7"/>
  <c r="L35" i="7"/>
  <c r="P34" i="7"/>
  <c r="O34" i="7"/>
  <c r="N34" i="7"/>
  <c r="M34" i="7"/>
  <c r="L34" i="7"/>
  <c r="P33" i="7"/>
  <c r="O33" i="7"/>
  <c r="N33" i="7"/>
  <c r="M33" i="7"/>
  <c r="L33" i="7"/>
  <c r="P32" i="7"/>
  <c r="O32" i="7"/>
  <c r="N32" i="7"/>
  <c r="M32" i="7"/>
  <c r="L32" i="7"/>
  <c r="P31" i="7"/>
  <c r="O31" i="7"/>
  <c r="N31" i="7"/>
  <c r="M31" i="7"/>
  <c r="L31" i="7"/>
  <c r="P30" i="7"/>
  <c r="O30" i="7"/>
  <c r="N30" i="7"/>
  <c r="M30" i="7"/>
  <c r="L30" i="7"/>
  <c r="P29" i="7"/>
  <c r="O29" i="7"/>
  <c r="N29" i="7"/>
  <c r="M29" i="7"/>
  <c r="L29" i="7"/>
  <c r="P28" i="7"/>
  <c r="O28" i="7"/>
  <c r="N28" i="7"/>
  <c r="M28" i="7"/>
  <c r="L28" i="7"/>
  <c r="P27" i="7"/>
  <c r="O27" i="7"/>
  <c r="N27" i="7"/>
  <c r="M27" i="7"/>
  <c r="L27" i="7"/>
  <c r="P26" i="7"/>
  <c r="O26" i="7"/>
  <c r="N26" i="7"/>
  <c r="M26" i="7"/>
  <c r="L26" i="7"/>
  <c r="P25" i="7"/>
  <c r="O25" i="7"/>
  <c r="N25" i="7"/>
  <c r="M25" i="7"/>
  <c r="L25" i="7"/>
  <c r="P24" i="7"/>
  <c r="O24" i="7"/>
  <c r="N24" i="7"/>
  <c r="M24" i="7"/>
  <c r="L24" i="7"/>
  <c r="P23" i="7"/>
  <c r="O23" i="7"/>
  <c r="N23" i="7"/>
  <c r="M23" i="7"/>
  <c r="L23" i="7"/>
  <c r="P22" i="7"/>
  <c r="O22" i="7"/>
  <c r="N22" i="7"/>
  <c r="M22" i="7"/>
  <c r="L22" i="7"/>
  <c r="P21" i="7"/>
  <c r="O21" i="7"/>
  <c r="N21" i="7"/>
  <c r="M21" i="7"/>
  <c r="L21" i="7"/>
  <c r="P20" i="7"/>
  <c r="O20" i="7"/>
  <c r="N20" i="7"/>
  <c r="M20" i="7"/>
  <c r="L20" i="7"/>
  <c r="P19" i="7"/>
  <c r="O19" i="7"/>
  <c r="N19" i="7"/>
  <c r="M19" i="7"/>
  <c r="L19" i="7"/>
  <c r="P18" i="7"/>
  <c r="O18" i="7"/>
  <c r="N18" i="7"/>
  <c r="M18" i="7"/>
  <c r="L18" i="7"/>
  <c r="P17" i="7"/>
  <c r="O17" i="7"/>
  <c r="N17" i="7"/>
  <c r="M17" i="7"/>
  <c r="L17" i="7"/>
  <c r="P16" i="7"/>
  <c r="O16" i="7"/>
  <c r="N16" i="7"/>
  <c r="M16" i="7"/>
  <c r="L16" i="7"/>
  <c r="P15" i="7"/>
  <c r="O15" i="7"/>
  <c r="N15" i="7"/>
  <c r="M15" i="7"/>
  <c r="L15" i="7"/>
  <c r="P14" i="7"/>
  <c r="O14" i="7"/>
  <c r="N14" i="7"/>
  <c r="M14" i="7"/>
  <c r="L14" i="7"/>
  <c r="P13" i="7"/>
  <c r="O13" i="7"/>
  <c r="N13" i="7"/>
  <c r="M13" i="7"/>
  <c r="L13" i="7"/>
  <c r="P12" i="7"/>
  <c r="O12" i="7"/>
  <c r="N12" i="7"/>
  <c r="M12" i="7"/>
  <c r="L12" i="7"/>
  <c r="P11" i="7"/>
  <c r="O11" i="7"/>
  <c r="N11" i="7"/>
  <c r="M11" i="7"/>
  <c r="L11" i="7"/>
  <c r="P10" i="7"/>
  <c r="O10" i="7"/>
  <c r="N10" i="7"/>
  <c r="M10" i="7"/>
  <c r="L10" i="7"/>
  <c r="P9" i="7"/>
  <c r="O9" i="7"/>
  <c r="N9" i="7"/>
  <c r="M9" i="7"/>
  <c r="L9" i="7"/>
  <c r="P8" i="7"/>
  <c r="O8" i="7"/>
  <c r="N8" i="7"/>
  <c r="M8" i="7"/>
  <c r="L8" i="7"/>
  <c r="P7" i="7"/>
  <c r="O7" i="7"/>
  <c r="N7" i="7"/>
  <c r="M7" i="7"/>
  <c r="L7" i="7"/>
  <c r="P6" i="7"/>
  <c r="O6" i="7"/>
  <c r="N6" i="7"/>
  <c r="M6" i="7"/>
  <c r="L6" i="7"/>
  <c r="P5" i="7"/>
  <c r="O5" i="7"/>
  <c r="N5" i="7"/>
  <c r="M5" i="7"/>
  <c r="L5" i="7"/>
  <c r="P4" i="7"/>
  <c r="O4" i="7"/>
  <c r="N4" i="7"/>
  <c r="M4" i="7"/>
  <c r="L4" i="7"/>
  <c r="P3" i="7"/>
  <c r="O3" i="7"/>
  <c r="N3" i="7"/>
  <c r="M3" i="7"/>
  <c r="L3" i="7"/>
  <c r="P2" i="7"/>
  <c r="O2" i="7"/>
  <c r="N2" i="7"/>
  <c r="M2" i="7"/>
  <c r="L2" i="7"/>
  <c r="J391" i="5"/>
  <c r="I391" i="5"/>
  <c r="J390" i="5"/>
  <c r="I390" i="5"/>
  <c r="J389" i="5"/>
  <c r="I389" i="5"/>
  <c r="J388" i="5"/>
  <c r="I388" i="5"/>
  <c r="J387" i="5"/>
  <c r="I387" i="5"/>
  <c r="J386" i="5"/>
  <c r="I386" i="5"/>
  <c r="J385" i="5"/>
  <c r="I385" i="5"/>
  <c r="J384" i="5"/>
  <c r="I384" i="5"/>
  <c r="J383" i="5"/>
  <c r="I383" i="5"/>
  <c r="J382" i="5"/>
  <c r="I382" i="5"/>
  <c r="J381" i="5"/>
  <c r="I381" i="5"/>
  <c r="J380" i="5"/>
  <c r="I380" i="5"/>
  <c r="J379" i="5"/>
  <c r="I379" i="5"/>
  <c r="J378" i="5"/>
  <c r="I378" i="5"/>
  <c r="J377" i="5"/>
  <c r="I377" i="5"/>
  <c r="J376" i="5"/>
  <c r="I376" i="5"/>
  <c r="J375" i="5"/>
  <c r="I375" i="5"/>
  <c r="J374" i="5"/>
  <c r="I374" i="5"/>
  <c r="J373" i="5"/>
  <c r="I373" i="5"/>
  <c r="J372" i="5"/>
  <c r="I372" i="5"/>
  <c r="J371" i="5"/>
  <c r="I371" i="5"/>
  <c r="J370" i="5"/>
  <c r="I370" i="5"/>
  <c r="J369" i="5"/>
  <c r="I369" i="5"/>
  <c r="J368" i="5"/>
  <c r="I368" i="5"/>
  <c r="J367" i="5"/>
  <c r="I367" i="5"/>
  <c r="J366" i="5"/>
  <c r="I366" i="5"/>
  <c r="J365" i="5"/>
  <c r="I365" i="5"/>
  <c r="J364" i="5"/>
  <c r="I364" i="5"/>
  <c r="J363" i="5"/>
  <c r="I363" i="5"/>
  <c r="J362" i="5"/>
  <c r="I362" i="5"/>
  <c r="J361" i="5"/>
  <c r="I361" i="5"/>
  <c r="J360" i="5"/>
  <c r="I360" i="5"/>
  <c r="J359" i="5"/>
  <c r="I359" i="5"/>
  <c r="J358" i="5"/>
  <c r="I358" i="5"/>
  <c r="J357" i="5"/>
  <c r="I357" i="5"/>
  <c r="J356" i="5"/>
  <c r="I356" i="5"/>
  <c r="J355" i="5"/>
  <c r="I355" i="5"/>
  <c r="J354" i="5"/>
  <c r="I354" i="5"/>
  <c r="J353" i="5"/>
  <c r="I353" i="5"/>
  <c r="J352" i="5"/>
  <c r="I352" i="5"/>
  <c r="J351" i="5"/>
  <c r="I351" i="5"/>
  <c r="J350" i="5"/>
  <c r="I350" i="5"/>
  <c r="J349" i="5"/>
  <c r="I349" i="5"/>
  <c r="J348" i="5"/>
  <c r="I348" i="5"/>
  <c r="J347" i="5"/>
  <c r="I347" i="5"/>
  <c r="J346" i="5"/>
  <c r="I346" i="5"/>
  <c r="J345" i="5"/>
  <c r="I345" i="5"/>
  <c r="J344" i="5"/>
  <c r="I344" i="5"/>
  <c r="J343" i="5"/>
  <c r="I343" i="5"/>
  <c r="J342" i="5"/>
  <c r="I342" i="5"/>
  <c r="J341" i="5"/>
  <c r="I341" i="5"/>
  <c r="J340" i="5"/>
  <c r="I340" i="5"/>
  <c r="J339" i="5"/>
  <c r="I339" i="5"/>
  <c r="J338" i="5"/>
  <c r="I338" i="5"/>
  <c r="J337" i="5"/>
  <c r="I337" i="5"/>
  <c r="J336" i="5"/>
  <c r="I336" i="5"/>
  <c r="J335" i="5"/>
  <c r="I335" i="5"/>
  <c r="J334" i="5"/>
  <c r="I334" i="5"/>
  <c r="J333" i="5"/>
  <c r="I333" i="5"/>
  <c r="J332" i="5"/>
  <c r="I332" i="5"/>
  <c r="J331" i="5"/>
  <c r="I331" i="5"/>
  <c r="J330" i="5"/>
  <c r="I330" i="5"/>
  <c r="J329" i="5"/>
  <c r="I329" i="5"/>
  <c r="J328" i="5"/>
  <c r="I328" i="5"/>
  <c r="J327" i="5"/>
  <c r="I327" i="5"/>
  <c r="J326" i="5"/>
  <c r="I326" i="5"/>
  <c r="J325" i="5"/>
  <c r="I325" i="5"/>
  <c r="J324" i="5"/>
  <c r="I324" i="5"/>
  <c r="J323" i="5"/>
  <c r="I323" i="5"/>
  <c r="J322" i="5"/>
  <c r="I322" i="5"/>
  <c r="J321" i="5"/>
  <c r="I321" i="5"/>
  <c r="J320" i="5"/>
  <c r="I320" i="5"/>
  <c r="J319" i="5"/>
  <c r="I319" i="5"/>
  <c r="J318" i="5"/>
  <c r="I318" i="5"/>
  <c r="J317" i="5"/>
  <c r="I317" i="5"/>
  <c r="J316" i="5"/>
  <c r="I316" i="5"/>
  <c r="J315" i="5"/>
  <c r="I315" i="5"/>
  <c r="J314" i="5"/>
  <c r="I314" i="5"/>
  <c r="J313" i="5"/>
  <c r="I313" i="5"/>
  <c r="J312" i="5"/>
  <c r="I312" i="5"/>
  <c r="J311" i="5"/>
  <c r="I311" i="5"/>
  <c r="J310" i="5"/>
  <c r="I310" i="5"/>
  <c r="J309" i="5"/>
  <c r="I309" i="5"/>
  <c r="J308" i="5"/>
  <c r="I308" i="5"/>
  <c r="J307" i="5"/>
  <c r="I307" i="5"/>
  <c r="J306" i="5"/>
  <c r="I306" i="5"/>
  <c r="J305" i="5"/>
  <c r="I305" i="5"/>
  <c r="J304" i="5"/>
  <c r="I304" i="5"/>
  <c r="J303" i="5"/>
  <c r="I303" i="5"/>
  <c r="J302" i="5"/>
  <c r="I302" i="5"/>
  <c r="J301" i="5"/>
  <c r="I301" i="5"/>
  <c r="J300" i="5"/>
  <c r="I300" i="5"/>
  <c r="J299" i="5"/>
  <c r="I299" i="5"/>
  <c r="J298" i="5"/>
  <c r="I298" i="5"/>
  <c r="J297" i="5"/>
  <c r="I297" i="5"/>
  <c r="J296" i="5"/>
  <c r="I296" i="5"/>
  <c r="J295" i="5"/>
  <c r="I295" i="5"/>
  <c r="J294" i="5"/>
  <c r="I294" i="5"/>
  <c r="J293" i="5"/>
  <c r="I293" i="5"/>
  <c r="J292" i="5"/>
  <c r="I292" i="5"/>
  <c r="J291" i="5"/>
  <c r="I291" i="5"/>
  <c r="J290" i="5"/>
  <c r="I290" i="5"/>
  <c r="J289" i="5"/>
  <c r="I289" i="5"/>
  <c r="J288" i="5"/>
  <c r="I288" i="5"/>
  <c r="J287" i="5"/>
  <c r="I287" i="5"/>
  <c r="J286" i="5"/>
  <c r="I286" i="5"/>
  <c r="J285" i="5"/>
  <c r="I285" i="5"/>
  <c r="J284" i="5"/>
  <c r="I284" i="5"/>
  <c r="J283" i="5"/>
  <c r="I283" i="5"/>
  <c r="J282" i="5"/>
  <c r="I282" i="5"/>
  <c r="J281" i="5"/>
  <c r="I281" i="5"/>
  <c r="J280" i="5"/>
  <c r="I280" i="5"/>
  <c r="J279" i="5"/>
  <c r="I279" i="5"/>
  <c r="J278" i="5"/>
  <c r="I278" i="5"/>
  <c r="J277" i="5"/>
  <c r="I277" i="5"/>
  <c r="J276" i="5"/>
  <c r="I276" i="5"/>
  <c r="J275" i="5"/>
  <c r="I275" i="5"/>
  <c r="J274" i="5"/>
  <c r="I274" i="5"/>
  <c r="J273" i="5"/>
  <c r="I273" i="5"/>
  <c r="J272" i="5"/>
  <c r="I272" i="5"/>
  <c r="J271" i="5"/>
  <c r="I271" i="5"/>
  <c r="J270" i="5"/>
  <c r="I270" i="5"/>
  <c r="J269" i="5"/>
  <c r="I269" i="5"/>
  <c r="J268" i="5"/>
  <c r="I268" i="5"/>
  <c r="J267" i="5"/>
  <c r="I267" i="5"/>
  <c r="J266" i="5"/>
  <c r="I266" i="5"/>
  <c r="J265" i="5"/>
  <c r="I265" i="5"/>
  <c r="J264" i="5"/>
  <c r="I264" i="5"/>
  <c r="J263" i="5"/>
  <c r="I263" i="5"/>
  <c r="J262" i="5"/>
  <c r="I262" i="5"/>
  <c r="J261" i="5"/>
  <c r="I261" i="5"/>
  <c r="J260" i="5"/>
  <c r="I260" i="5"/>
  <c r="J259" i="5"/>
  <c r="I259" i="5"/>
  <c r="J258" i="5"/>
  <c r="I258" i="5"/>
  <c r="J257" i="5"/>
  <c r="I257" i="5"/>
  <c r="J256" i="5"/>
  <c r="I256" i="5"/>
  <c r="J255" i="5"/>
  <c r="I255" i="5"/>
  <c r="J254" i="5"/>
  <c r="I254" i="5"/>
  <c r="J253" i="5"/>
  <c r="I253" i="5"/>
  <c r="J252" i="5"/>
  <c r="I252" i="5"/>
  <c r="J251" i="5"/>
  <c r="I251" i="5"/>
  <c r="J250" i="5"/>
  <c r="I250" i="5"/>
  <c r="J249" i="5"/>
  <c r="I249" i="5"/>
  <c r="J248" i="5"/>
  <c r="I248" i="5"/>
  <c r="J247" i="5"/>
  <c r="I247" i="5"/>
  <c r="J246" i="5"/>
  <c r="I246" i="5"/>
  <c r="J245" i="5"/>
  <c r="I245" i="5"/>
  <c r="J244" i="5"/>
  <c r="I244" i="5"/>
  <c r="J243" i="5"/>
  <c r="I243" i="5"/>
  <c r="J242" i="5"/>
  <c r="I242" i="5"/>
  <c r="J241" i="5"/>
  <c r="I241" i="5"/>
  <c r="J240" i="5"/>
  <c r="I240" i="5"/>
  <c r="J239" i="5"/>
  <c r="I239" i="5"/>
  <c r="J238" i="5"/>
  <c r="I238" i="5"/>
  <c r="J237" i="5"/>
  <c r="I237" i="5"/>
  <c r="J236" i="5"/>
  <c r="I236" i="5"/>
  <c r="J235" i="5"/>
  <c r="I235" i="5"/>
  <c r="J234" i="5"/>
  <c r="I234" i="5"/>
  <c r="J233" i="5"/>
  <c r="I233" i="5"/>
  <c r="J232" i="5"/>
  <c r="I232" i="5"/>
  <c r="J231" i="5"/>
  <c r="I231" i="5"/>
  <c r="J230" i="5"/>
  <c r="I230" i="5"/>
  <c r="J229" i="5"/>
  <c r="I229" i="5"/>
  <c r="J228" i="5"/>
  <c r="I228" i="5"/>
  <c r="J227" i="5"/>
  <c r="I227" i="5"/>
  <c r="J226" i="5"/>
  <c r="I226" i="5"/>
  <c r="J225" i="5"/>
  <c r="I225" i="5"/>
  <c r="J224" i="5"/>
  <c r="I224" i="5"/>
  <c r="J223" i="5"/>
  <c r="I223" i="5"/>
  <c r="J222" i="5"/>
  <c r="I222" i="5"/>
  <c r="J221" i="5"/>
  <c r="I221" i="5"/>
  <c r="J220" i="5"/>
  <c r="I220" i="5"/>
  <c r="J219" i="5"/>
  <c r="I219" i="5"/>
  <c r="J218" i="5"/>
  <c r="I218" i="5"/>
  <c r="J217" i="5"/>
  <c r="I217" i="5"/>
  <c r="J216" i="5"/>
  <c r="I216" i="5"/>
  <c r="J215" i="5"/>
  <c r="I215" i="5"/>
  <c r="J214" i="5"/>
  <c r="I214" i="5"/>
  <c r="J213" i="5"/>
  <c r="I213" i="5"/>
  <c r="J212" i="5"/>
  <c r="I212" i="5"/>
  <c r="J211" i="5"/>
  <c r="I211" i="5"/>
  <c r="J210" i="5"/>
  <c r="I210" i="5"/>
  <c r="J209" i="5"/>
  <c r="I209" i="5"/>
  <c r="J208" i="5"/>
  <c r="I208" i="5"/>
  <c r="J207" i="5"/>
  <c r="I207" i="5"/>
  <c r="J206" i="5"/>
  <c r="I206" i="5"/>
  <c r="J205" i="5"/>
  <c r="I205" i="5"/>
  <c r="J204" i="5"/>
  <c r="I204" i="5"/>
  <c r="J203" i="5"/>
  <c r="I203" i="5"/>
  <c r="J202" i="5"/>
  <c r="I202" i="5"/>
  <c r="J201" i="5"/>
  <c r="I201" i="5"/>
  <c r="J200" i="5"/>
  <c r="I200" i="5"/>
  <c r="J199" i="5"/>
  <c r="I199" i="5"/>
  <c r="J198" i="5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J3" i="5"/>
  <c r="I3" i="5"/>
  <c r="J2" i="5"/>
  <c r="I2" i="5"/>
  <c r="L39" i="3"/>
  <c r="K39" i="3"/>
  <c r="M39" i="3" s="1"/>
  <c r="I39" i="3"/>
  <c r="H39" i="3"/>
  <c r="F39" i="3"/>
  <c r="E39" i="3"/>
  <c r="G39" i="3" s="1"/>
  <c r="L38" i="3"/>
  <c r="K38" i="3"/>
  <c r="M38" i="3" s="1"/>
  <c r="I38" i="3"/>
  <c r="H38" i="3"/>
  <c r="F38" i="3"/>
  <c r="E38" i="3"/>
  <c r="G38" i="3" s="1"/>
  <c r="L37" i="3"/>
  <c r="K37" i="3"/>
  <c r="M37" i="3" s="1"/>
  <c r="J37" i="3"/>
  <c r="I37" i="3"/>
  <c r="H37" i="3"/>
  <c r="F37" i="3"/>
  <c r="E37" i="3"/>
  <c r="G37" i="3" s="1"/>
  <c r="L36" i="3"/>
  <c r="K36" i="3"/>
  <c r="M36" i="3" s="1"/>
  <c r="J36" i="3"/>
  <c r="I36" i="3"/>
  <c r="H36" i="3"/>
  <c r="F36" i="3"/>
  <c r="E36" i="3"/>
  <c r="G36" i="3" s="1"/>
  <c r="L35" i="3"/>
  <c r="K35" i="3"/>
  <c r="M35" i="3" s="1"/>
  <c r="J35" i="3"/>
  <c r="I35" i="3"/>
  <c r="H35" i="3"/>
  <c r="F35" i="3"/>
  <c r="E35" i="3"/>
  <c r="G35" i="3" s="1"/>
  <c r="L34" i="3"/>
  <c r="K34" i="3"/>
  <c r="M34" i="3" s="1"/>
  <c r="J34" i="3"/>
  <c r="I34" i="3"/>
  <c r="H34" i="3"/>
  <c r="F34" i="3"/>
  <c r="E34" i="3"/>
  <c r="G34" i="3" s="1"/>
  <c r="L33" i="3"/>
  <c r="K33" i="3"/>
  <c r="M33" i="3" s="1"/>
  <c r="J33" i="3"/>
  <c r="I33" i="3"/>
  <c r="H33" i="3"/>
  <c r="F33" i="3"/>
  <c r="E33" i="3"/>
  <c r="G33" i="3" s="1"/>
  <c r="L32" i="3"/>
  <c r="K32" i="3"/>
  <c r="M32" i="3" s="1"/>
  <c r="J32" i="3"/>
  <c r="I32" i="3"/>
  <c r="H32" i="3"/>
  <c r="F32" i="3"/>
  <c r="E32" i="3"/>
  <c r="G32" i="3" s="1"/>
  <c r="L31" i="3"/>
  <c r="K31" i="3"/>
  <c r="M31" i="3" s="1"/>
  <c r="J31" i="3"/>
  <c r="I31" i="3"/>
  <c r="H31" i="3"/>
  <c r="F31" i="3"/>
  <c r="E31" i="3"/>
  <c r="G31" i="3" s="1"/>
  <c r="L30" i="3"/>
  <c r="K30" i="3"/>
  <c r="M30" i="3" s="1"/>
  <c r="J30" i="3"/>
  <c r="I30" i="3"/>
  <c r="H30" i="3"/>
  <c r="F30" i="3"/>
  <c r="E30" i="3"/>
  <c r="G30" i="3" s="1"/>
  <c r="L29" i="3"/>
  <c r="K29" i="3"/>
  <c r="M29" i="3" s="1"/>
  <c r="J29" i="3"/>
  <c r="I29" i="3"/>
  <c r="H29" i="3"/>
  <c r="F29" i="3"/>
  <c r="E29" i="3"/>
  <c r="G29" i="3" s="1"/>
  <c r="L28" i="3"/>
  <c r="K28" i="3"/>
  <c r="M28" i="3" s="1"/>
  <c r="J28" i="3"/>
  <c r="I28" i="3"/>
  <c r="H28" i="3"/>
  <c r="F28" i="3"/>
  <c r="E28" i="3"/>
  <c r="G28" i="3" s="1"/>
  <c r="L27" i="3"/>
  <c r="K27" i="3"/>
  <c r="M27" i="3" s="1"/>
  <c r="J27" i="3"/>
  <c r="I27" i="3"/>
  <c r="H27" i="3"/>
  <c r="F27" i="3"/>
  <c r="E27" i="3"/>
  <c r="G27" i="3" s="1"/>
  <c r="L26" i="3"/>
  <c r="K26" i="3"/>
  <c r="M26" i="3" s="1"/>
  <c r="J26" i="3"/>
  <c r="I26" i="3"/>
  <c r="H26" i="3"/>
  <c r="F26" i="3"/>
  <c r="E26" i="3"/>
  <c r="G26" i="3" s="1"/>
  <c r="L25" i="3"/>
  <c r="K25" i="3"/>
  <c r="M25" i="3" s="1"/>
  <c r="J25" i="3"/>
  <c r="I25" i="3"/>
  <c r="H25" i="3"/>
  <c r="F25" i="3"/>
  <c r="E25" i="3"/>
  <c r="G25" i="3" s="1"/>
  <c r="L24" i="3"/>
  <c r="K24" i="3"/>
  <c r="M24" i="3" s="1"/>
  <c r="J24" i="3"/>
  <c r="I24" i="3"/>
  <c r="H24" i="3"/>
  <c r="F24" i="3"/>
  <c r="E24" i="3"/>
  <c r="G24" i="3" s="1"/>
  <c r="L23" i="3"/>
  <c r="K23" i="3"/>
  <c r="M23" i="3" s="1"/>
  <c r="J23" i="3"/>
  <c r="I23" i="3"/>
  <c r="H23" i="3"/>
  <c r="F23" i="3"/>
  <c r="E23" i="3"/>
  <c r="G23" i="3" s="1"/>
  <c r="L22" i="3"/>
  <c r="K22" i="3"/>
  <c r="M22" i="3" s="1"/>
  <c r="J22" i="3"/>
  <c r="I22" i="3"/>
  <c r="H22" i="3"/>
  <c r="F22" i="3"/>
  <c r="E22" i="3"/>
  <c r="G22" i="3" s="1"/>
  <c r="L21" i="3"/>
  <c r="K21" i="3"/>
  <c r="M21" i="3" s="1"/>
  <c r="J21" i="3"/>
  <c r="I21" i="3"/>
  <c r="H21" i="3"/>
  <c r="F21" i="3"/>
  <c r="E21" i="3"/>
  <c r="G21" i="3" s="1"/>
  <c r="L20" i="3"/>
  <c r="K20" i="3"/>
  <c r="M20" i="3" s="1"/>
  <c r="J20" i="3"/>
  <c r="I20" i="3"/>
  <c r="H20" i="3"/>
  <c r="F20" i="3"/>
  <c r="E20" i="3"/>
  <c r="G20" i="3" s="1"/>
  <c r="L19" i="3"/>
  <c r="K19" i="3"/>
  <c r="M19" i="3" s="1"/>
  <c r="J19" i="3"/>
  <c r="I19" i="3"/>
  <c r="H19" i="3"/>
  <c r="F19" i="3"/>
  <c r="E19" i="3"/>
  <c r="G19" i="3" s="1"/>
  <c r="L18" i="3"/>
  <c r="K18" i="3"/>
  <c r="M18" i="3" s="1"/>
  <c r="J18" i="3"/>
  <c r="I18" i="3"/>
  <c r="H18" i="3"/>
  <c r="F18" i="3"/>
  <c r="E18" i="3"/>
  <c r="G18" i="3" s="1"/>
  <c r="L17" i="3"/>
  <c r="K17" i="3"/>
  <c r="M17" i="3" s="1"/>
  <c r="J17" i="3"/>
  <c r="I17" i="3"/>
  <c r="H17" i="3"/>
  <c r="F17" i="3"/>
  <c r="E17" i="3"/>
  <c r="G17" i="3" s="1"/>
  <c r="L16" i="3"/>
  <c r="K16" i="3"/>
  <c r="M16" i="3" s="1"/>
  <c r="J16" i="3"/>
  <c r="I16" i="3"/>
  <c r="H16" i="3"/>
  <c r="F16" i="3"/>
  <c r="E16" i="3"/>
  <c r="G16" i="3" s="1"/>
  <c r="L15" i="3"/>
  <c r="K15" i="3"/>
  <c r="M15" i="3" s="1"/>
  <c r="J15" i="3"/>
  <c r="I15" i="3"/>
  <c r="H15" i="3"/>
  <c r="F15" i="3"/>
  <c r="E15" i="3"/>
  <c r="G15" i="3" s="1"/>
  <c r="L14" i="3"/>
  <c r="K14" i="3"/>
  <c r="M14" i="3" s="1"/>
  <c r="J14" i="3"/>
  <c r="I14" i="3"/>
  <c r="H14" i="3"/>
  <c r="F14" i="3"/>
  <c r="E14" i="3"/>
  <c r="G14" i="3" s="1"/>
  <c r="L13" i="3"/>
  <c r="K13" i="3"/>
  <c r="M13" i="3" s="1"/>
  <c r="J13" i="3"/>
  <c r="I13" i="3"/>
  <c r="H13" i="3"/>
  <c r="F13" i="3"/>
  <c r="E13" i="3"/>
  <c r="G13" i="3" s="1"/>
  <c r="L12" i="3"/>
  <c r="K12" i="3"/>
  <c r="M12" i="3" s="1"/>
  <c r="J12" i="3"/>
  <c r="I12" i="3"/>
  <c r="H12" i="3"/>
  <c r="F12" i="3"/>
  <c r="E12" i="3"/>
  <c r="G12" i="3" s="1"/>
  <c r="L11" i="3"/>
  <c r="K11" i="3"/>
  <c r="M11" i="3" s="1"/>
  <c r="J11" i="3"/>
  <c r="I11" i="3"/>
  <c r="H11" i="3"/>
  <c r="F11" i="3"/>
  <c r="E11" i="3"/>
  <c r="G11" i="3" s="1"/>
  <c r="L10" i="3"/>
  <c r="K10" i="3"/>
  <c r="M10" i="3" s="1"/>
  <c r="J10" i="3"/>
  <c r="I10" i="3"/>
  <c r="H10" i="3"/>
  <c r="F10" i="3"/>
  <c r="E10" i="3"/>
  <c r="G10" i="3" s="1"/>
  <c r="B6" i="3" s="1"/>
  <c r="N6" i="3"/>
  <c r="J6" i="3"/>
  <c r="F6" i="3"/>
  <c r="B24" i="1"/>
  <c r="B23" i="1"/>
  <c r="J17" i="1"/>
  <c r="F17" i="1"/>
  <c r="B17" i="1"/>
  <c r="J15" i="1"/>
  <c r="F15" i="1"/>
  <c r="B15" i="1"/>
  <c r="J13" i="1"/>
  <c r="F13" i="1"/>
  <c r="B13" i="1"/>
  <c r="B9" i="1"/>
  <c r="C26" i="15" l="1"/>
  <c r="D19" i="15"/>
  <c r="D30" i="15"/>
  <c r="C30" i="15"/>
  <c r="E30" i="15" s="1"/>
  <c r="D29" i="15"/>
  <c r="C29" i="15"/>
  <c r="E29" i="15" s="1"/>
  <c r="D28" i="15"/>
  <c r="C19" i="15"/>
  <c r="E19" i="15" s="1"/>
  <c r="C28" i="15"/>
  <c r="E28" i="15" s="1"/>
  <c r="D27" i="15"/>
  <c r="C27" i="15"/>
  <c r="E27" i="15" s="1"/>
  <c r="D26" i="15"/>
  <c r="D31" i="15"/>
  <c r="D25" i="15"/>
  <c r="C25" i="15"/>
  <c r="E25" i="15" s="1"/>
  <c r="D24" i="15"/>
  <c r="C24" i="15"/>
  <c r="D23" i="15"/>
  <c r="C23" i="15"/>
  <c r="E23" i="15" s="1"/>
  <c r="D22" i="15"/>
  <c r="C22" i="15"/>
  <c r="E22" i="15" s="1"/>
  <c r="D21" i="15"/>
  <c r="C21" i="15"/>
  <c r="E21" i="15" s="1"/>
  <c r="D20" i="15"/>
  <c r="C20" i="15"/>
  <c r="E20" i="15" s="1"/>
  <c r="C31" i="15"/>
  <c r="D46" i="12"/>
  <c r="D47" i="12"/>
  <c r="C56" i="12"/>
  <c r="D55" i="12"/>
  <c r="C55" i="12"/>
  <c r="D54" i="12"/>
  <c r="C54" i="12"/>
  <c r="D53" i="12"/>
  <c r="C53" i="12"/>
  <c r="D52" i="12"/>
  <c r="C52" i="12"/>
  <c r="D51" i="12"/>
  <c r="C47" i="12"/>
  <c r="C51" i="12"/>
  <c r="D50" i="12"/>
  <c r="C50" i="12"/>
  <c r="D49" i="12"/>
  <c r="C44" i="12"/>
  <c r="D44" i="12"/>
  <c r="C45" i="12"/>
  <c r="D45" i="12"/>
  <c r="C46" i="12"/>
  <c r="C49" i="12"/>
  <c r="D48" i="12"/>
  <c r="C48" i="12"/>
  <c r="D56" i="12"/>
  <c r="J10" i="1" s="1"/>
  <c r="F12" i="12"/>
  <c r="R6" i="12"/>
  <c r="J9" i="1" s="1"/>
  <c r="E25" i="12"/>
  <c r="F25" i="12" s="1"/>
  <c r="D27" i="12"/>
  <c r="E21" i="12"/>
  <c r="F21" i="12" s="1"/>
  <c r="D21" i="12"/>
  <c r="E20" i="12"/>
  <c r="F20" i="12" s="1"/>
  <c r="D20" i="12"/>
  <c r="E19" i="12"/>
  <c r="F19" i="12" s="1"/>
  <c r="D19" i="12"/>
  <c r="E18" i="12"/>
  <c r="F18" i="12" s="1"/>
  <c r="E17" i="12"/>
  <c r="F17" i="12" s="1"/>
  <c r="E27" i="12"/>
  <c r="F27" i="12" s="1"/>
  <c r="D17" i="12"/>
  <c r="D18" i="12"/>
  <c r="E22" i="12"/>
  <c r="F22" i="12" s="1"/>
  <c r="D23" i="12"/>
  <c r="E23" i="12"/>
  <c r="F23" i="12" s="1"/>
  <c r="D26" i="12"/>
  <c r="D24" i="12"/>
  <c r="E24" i="12"/>
  <c r="F24" i="12" s="1"/>
  <c r="E32" i="12"/>
  <c r="F32" i="12" s="1"/>
  <c r="D32" i="12"/>
  <c r="E31" i="12"/>
  <c r="F31" i="12" s="1"/>
  <c r="D31" i="12"/>
  <c r="E30" i="12"/>
  <c r="F30" i="12" s="1"/>
  <c r="E26" i="12"/>
  <c r="F26" i="12" s="1"/>
  <c r="D30" i="12"/>
  <c r="E29" i="12"/>
  <c r="F29" i="12" s="1"/>
  <c r="D29" i="12"/>
  <c r="E28" i="12"/>
  <c r="F28" i="12" s="1"/>
  <c r="D28" i="12"/>
  <c r="D25" i="12"/>
  <c r="D22" i="12"/>
  <c r="F15" i="9"/>
  <c r="N6" i="9"/>
  <c r="J6" i="9"/>
  <c r="E15" i="9"/>
  <c r="D15" i="9"/>
  <c r="B21" i="1" s="1"/>
  <c r="F6" i="9"/>
  <c r="F9" i="1" s="1"/>
  <c r="D31" i="9"/>
  <c r="D28" i="9"/>
  <c r="C36" i="9"/>
  <c r="E36" i="9" s="1"/>
  <c r="D34" i="9"/>
  <c r="C39" i="9"/>
  <c r="E39" i="9" s="1"/>
  <c r="C32" i="9"/>
  <c r="D38" i="9"/>
  <c r="C31" i="9"/>
  <c r="C30" i="9"/>
  <c r="D27" i="9"/>
  <c r="C28" i="9"/>
  <c r="D30" i="9"/>
  <c r="C35" i="9"/>
  <c r="D37" i="9"/>
  <c r="C27" i="9"/>
  <c r="D39" i="9"/>
  <c r="D35" i="9"/>
  <c r="D33" i="9"/>
  <c r="C33" i="9"/>
  <c r="E33" i="9" s="1"/>
  <c r="D29" i="9"/>
  <c r="C34" i="9"/>
  <c r="C37" i="9"/>
  <c r="C38" i="9"/>
  <c r="D36" i="9"/>
  <c r="D32" i="9"/>
  <c r="C29" i="9"/>
  <c r="F10" i="12"/>
  <c r="F13" i="12"/>
  <c r="F11" i="12"/>
  <c r="E26" i="15" l="1"/>
  <c r="E31" i="15"/>
  <c r="E32" i="9"/>
  <c r="E31" i="9"/>
  <c r="E30" i="9"/>
  <c r="E28" i="9"/>
  <c r="E34" i="9"/>
  <c r="E35" i="9"/>
  <c r="E27" i="9"/>
  <c r="E24" i="15"/>
  <c r="E37" i="9"/>
  <c r="E38" i="9"/>
  <c r="F10" i="1" s="1"/>
  <c r="E29" i="9"/>
  <c r="B22" i="1"/>
</calcChain>
</file>

<file path=xl/sharedStrings.xml><?xml version="1.0" encoding="utf-8"?>
<sst xmlns="http://schemas.openxmlformats.org/spreadsheetml/2006/main" count="8752" uniqueCount="909">
  <si>
    <t>Warehouse Operations Executive Summary</t>
  </si>
  <si>
    <t>Live snapshot — every figure below recalculates from the Inventory, Vendor, and Labor Dashboards</t>
  </si>
  <si>
    <t>Good</t>
  </si>
  <si>
    <t>Warning</t>
  </si>
  <si>
    <t>Critical</t>
  </si>
  <si>
    <t>Key Metrics</t>
  </si>
  <si>
    <t>📊 Inventory Accuracy</t>
  </si>
  <si>
    <t>🚚 Vendor On-Time Delivery</t>
  </si>
  <si>
    <t>👷 Labor Attainment</t>
  </si>
  <si>
    <t>At a Glance</t>
  </si>
  <si>
    <t>SKUs Tracked</t>
  </si>
  <si>
    <t>Vendors Tracked</t>
  </si>
  <si>
    <t>Employees Tracked</t>
  </si>
  <si>
    <t>Total Cycle Counts</t>
  </si>
  <si>
    <t>Total POs Received</t>
  </si>
  <si>
    <t>Total Shifts Logged</t>
  </si>
  <si>
    <t>Total Orders</t>
  </si>
  <si>
    <t>Open Orders</t>
  </si>
  <si>
    <t>Total Returns</t>
  </si>
  <si>
    <t>Flagged Insights (formula-driven)</t>
  </si>
  <si>
    <t>Quick Links</t>
  </si>
  <si>
    <t>→ SKU Tracker</t>
  </si>
  <si>
    <t>→ Inventory Dashboard</t>
  </si>
  <si>
    <t>→ Vendor Dashboard</t>
  </si>
  <si>
    <t>→ Labor Dashboard</t>
  </si>
  <si>
    <t>→ Order Fulfillment Dashboard</t>
  </si>
  <si>
    <t>→ Capacity &amp; Cost Dashboard</t>
  </si>
  <si>
    <t>→ README</t>
  </si>
  <si>
    <t>Warehouse Efficiency Tracker</t>
  </si>
  <si>
    <t>Portfolio project — inventory accuracy, vendor performance, labor productivity, and order fulfillment</t>
  </si>
  <si>
    <t>Why this exists</t>
  </si>
  <si>
    <t>Built to demonstrate database design and Excel/data analysis skill, grounded in 8 years of hands-on</t>
  </si>
  <si>
    <t>warehouse experience with NetSuite, SAP, cycle counting, BOL verification, and quality audits. Rather</t>
  </si>
  <si>
    <t>than a generic tutorial dataset, this uses the same problems worked daily on the floor.</t>
  </si>
  <si>
    <t>How this workbook is organized</t>
  </si>
  <si>
    <t>Products, Vendors, Employees  -&gt;  master/reference data (things that rarely change)</t>
  </si>
  <si>
    <t>CycleCounts, Receiving, LaborLog, Orders, Returns  -&gt;  transaction data (events over time)</t>
  </si>
  <si>
    <t>Inventory / Vendor / Labor / Order Fulfillment Dashboard  -&gt;  one dashboard per pillar, built</t>
  </si>
  <si>
    <t>entirely with live formulas (COUNTIFS, SUMIFS, AVERAGEIFS, INDEX/MATCH) — nothing hardcoded.</t>
  </si>
  <si>
    <t>Capacity &amp; Cost Dashboard  -&gt;  Inventory Value and Labor Cost are real calculations; Dock</t>
  </si>
  <si>
    <t>Utilization, Warehouse Capacity %, and Shipping Cost rest on clearly stated assumptions (dock</t>
  </si>
  <si>
    <t>count, handling time, per-category weight, freight rate) since no real facility/carrier data exists.</t>
  </si>
  <si>
    <t>Key findings from the sample data</t>
  </si>
  <si>
    <t>- Packaging &amp; Supplies has the highest inventory discrepancy rate (16.7%) vs. Milk (5.8%) —</t>
  </si>
  <si>
    <t xml:space="preserve">  small loose parts are easier to miscount or misplace than bulky palletized items.</t>
  </si>
  <si>
    <t>- Budget Dairy Wholesale and Coastal Freight Distributors are the weakest vendors on-time</t>
  </si>
  <si>
    <t xml:space="preserve">  (54.5% / 60.0%), while Meadowbrook Dairy Co-op and Golden Valley Creamery hit 100%.</t>
  </si>
  <si>
    <t>- Units/hour varies meaningfully within the same role (Pickers range 48.7-58.4 units/hr) — a</t>
  </si>
  <si>
    <t xml:space="preserve">  reminder that role averages alone can hide real individual variance worth investigating.</t>
  </si>
  <si>
    <t>- Late-shipped orders return at roughly 2.75x the rate of on-time orders in this sample (11% vs</t>
  </si>
  <si>
    <t xml:space="preserve">  4%) — modeled deliberately, not random noise, to reflect a real cause-and-effect pattern.</t>
  </si>
  <si>
    <t>Three mistakes worth mentioning</t>
  </si>
  <si>
    <t>1. The first version of the Labor Dashboard's 'Avg Units/Hour by Employee' formula divided total</t>
  </si>
  <si>
    <t>units by shift COUNT instead of HOURS worked — produced a plausible but wrong number (366.8</t>
  </si>
  <si>
    <t>instead of 48.7) and passed a clean recalculation because the formula was valid, just pointed at</t>
  </si>
  <si>
    <t>the wrong column. Caught by manually cross-checking one employee's number by hand.</t>
  </si>
  <si>
    <t>2. The Estimated Shipping Cost formula referenced its rate assumption cells (base rate, $/lb) by</t>
  </si>
  <si>
    <t>bare coordinate (e.g. 'D27') instead of a full cross-sheet reference. Since that formula lives on</t>
  </si>
  <si>
    <t>the Orders tab, not the Capacity &amp; Cost tab where the assumptions are, Excel silently pulled D27/</t>
  </si>
  <si>
    <t>D28 from the Orders tab itself (unrelated order quantities) instead — inflating the total from a</t>
  </si>
  <si>
    <t>reasonable ~$15,000 to an impossible $506,000. Also passed a clean recalculation, since every</t>
  </si>
  <si>
    <t>reference was technically valid, just pointed at the wrong sheet. Caught by sanity-checking the</t>
  </si>
  <si>
    <t>total against a rough hand estimate before shipping it.</t>
  </si>
  <si>
    <t>3. The SKU Tracker's Return Rate formula referenced the wrong two columns (Vendor On-Time % and</t>
  </si>
  <si>
    <t>Units Ordered, instead of Units Ordered and Units Returned) — an easier catch than the other two,</t>
  </si>
  <si>
    <t>since the output was obviously wrong on sight (values like '48' instead of a percentage).</t>
  </si>
  <si>
    <t>Lesson, every time: 'no formula errors' and 'correct numbers' are not the same thing.</t>
  </si>
  <si>
    <t>Tools used</t>
  </si>
  <si>
    <t>SQLite + Python (data generation) + Excel (openpyxl-built formulas, conditional formatting, and</t>
  </si>
  <si>
    <t>charts). Deliberately no Power BI, no native Excel Slicers, no fake carrier/dock integrations, and</t>
  </si>
  <si>
    <t>no AI-generated commentary dressed up as insight — the 'Flagged Insights' on the Executive Summary</t>
  </si>
  <si>
    <t>are plain INDEX/MATCH/MIN/MAX formulas, honestly labeled as such.</t>
  </si>
  <si>
    <t>How this was built</t>
  </si>
  <si>
    <t>Built using Claude AI (Anthropic) as the implementation tool. I don't personally write SQL or</t>
  </si>
  <si>
    <t>Python — I directed the requirements and business logic (which metrics matter, how the pillars</t>
  </si>
  <si>
    <t>connect, what a real ops team would need), reviewed every module before moving to the next, and</t>
  </si>
  <si>
    <t>caught/verified the bugs documented above by checking outputs against independent estimates.</t>
  </si>
  <si>
    <t>SKU Tracker</t>
  </si>
  <si>
    <t>← Back to Executive Summary</t>
  </si>
  <si>
    <t>SKUs Below Reorder Point</t>
  </si>
  <si>
    <t>Avg Cycle Count Accuracy</t>
  </si>
  <si>
    <t>Total Units Ordered (Customers)</t>
  </si>
  <si>
    <t>Total Units Returned</t>
  </si>
  <si>
    <t>SKU</t>
  </si>
  <si>
    <t>Product Name</t>
  </si>
  <si>
    <t>Category</t>
  </si>
  <si>
    <t>On-Hand Qty</t>
  </si>
  <si>
    <t>Reorder Point</t>
  </si>
  <si>
    <t>Stock Status</t>
  </si>
  <si>
    <t>Cycle Count Accuracy</t>
  </si>
  <si>
    <t>Units Received</t>
  </si>
  <si>
    <t>Vendor On-Time %</t>
  </si>
  <si>
    <t>Units Ordered</t>
  </si>
  <si>
    <t>Units Returned</t>
  </si>
  <si>
    <t>Return Rate</t>
  </si>
  <si>
    <t>SKU-1001</t>
  </si>
  <si>
    <t>Whole Milk Gallon</t>
  </si>
  <si>
    <t>Milk</t>
  </si>
  <si>
    <t>SKU-1002</t>
  </si>
  <si>
    <t>2% Reduced Fat Milk Gallon</t>
  </si>
  <si>
    <t>SKU-1003</t>
  </si>
  <si>
    <t>Skim Milk Gallon</t>
  </si>
  <si>
    <t>SKU-1004</t>
  </si>
  <si>
    <t>Chocolate Milk Half-Gallon</t>
  </si>
  <si>
    <t>SKU-2001</t>
  </si>
  <si>
    <t>Cheddar Cheese Block 5lb</t>
  </si>
  <si>
    <t>Cheese</t>
  </si>
  <si>
    <t>SKU-2002</t>
  </si>
  <si>
    <t>Mozzarella Cheese Block 5lb</t>
  </si>
  <si>
    <t>SKU-2003</t>
  </si>
  <si>
    <t>Swiss Cheese Block 5lb</t>
  </si>
  <si>
    <t>SKU-2004</t>
  </si>
  <si>
    <t>String Cheese Snack Pack (12ct)</t>
  </si>
  <si>
    <t>SKU-3001</t>
  </si>
  <si>
    <t>Plain Greek Yogurt 32oz</t>
  </si>
  <si>
    <t>Yogurt</t>
  </si>
  <si>
    <t>SKU-3002</t>
  </si>
  <si>
    <t>Vanilla Yogurt 32oz</t>
  </si>
  <si>
    <t>SKU-3003</t>
  </si>
  <si>
    <t>Yogurt Multi-Pack Cups (12ct)</t>
  </si>
  <si>
    <t>SKU-4001</t>
  </si>
  <si>
    <t>Salted Butter 1lb</t>
  </si>
  <si>
    <t>Butter</t>
  </si>
  <si>
    <t>SKU-4002</t>
  </si>
  <si>
    <t>Unsalted Butter 1lb</t>
  </si>
  <si>
    <t>SKU-4003</t>
  </si>
  <si>
    <t>Butter Spread Tub</t>
  </si>
  <si>
    <t>SKU-5001</t>
  </si>
  <si>
    <t>Heavy Whipping Cream Quart</t>
  </si>
  <si>
    <t>Cream &amp; Creamers</t>
  </si>
  <si>
    <t>SKU-5002</t>
  </si>
  <si>
    <t>Half &amp; Half Pint</t>
  </si>
  <si>
    <t>SKU-5003</t>
  </si>
  <si>
    <t>Coffee Creamer Single-Serve Cups (50ct)</t>
  </si>
  <si>
    <t>SKU-5004</t>
  </si>
  <si>
    <t>Flavored Creamer Bottle 32oz</t>
  </si>
  <si>
    <t>SKU-6001</t>
  </si>
  <si>
    <t>Milk Carton Caps (case)</t>
  </si>
  <si>
    <t>Packaging &amp; Supplies</t>
  </si>
  <si>
    <t>SKU-6002</t>
  </si>
  <si>
    <t>Half-Gallon Cartons (case)</t>
  </si>
  <si>
    <t>SKU-6003</t>
  </si>
  <si>
    <t>Cheese Wrap Film Roll</t>
  </si>
  <si>
    <t>SKU-6004</t>
  </si>
  <si>
    <t>Product Labels Roll</t>
  </si>
  <si>
    <t>SKU-6005</t>
  </si>
  <si>
    <t>Shrink Wrap Bands (case)</t>
  </si>
  <si>
    <t>SKU-6006</t>
  </si>
  <si>
    <t>Case Liners (case)</t>
  </si>
  <si>
    <t>SKU-7001</t>
  </si>
  <si>
    <t>Sour Cream Tub 16oz</t>
  </si>
  <si>
    <t>Cultured &amp; Specialty</t>
  </si>
  <si>
    <t>SKU-7002</t>
  </si>
  <si>
    <t>Cottage Cheese Tub 16oz</t>
  </si>
  <si>
    <t>SKU-7003</t>
  </si>
  <si>
    <t>Kefir Bottle 32oz</t>
  </si>
  <si>
    <t>SKU-8001</t>
  </si>
  <si>
    <t>Vanilla Ice Cream 1.5qt</t>
  </si>
  <si>
    <t>Ice Cream &amp; Frozen</t>
  </si>
  <si>
    <t>SKU-8002</t>
  </si>
  <si>
    <t>Chocolate Ice Cream 1.5qt</t>
  </si>
  <si>
    <t>SKU-8003</t>
  </si>
  <si>
    <t>Frozen Yogurt Bars Box (12ct)</t>
  </si>
  <si>
    <t>Unit Cost</t>
  </si>
  <si>
    <t>Count ID</t>
  </si>
  <si>
    <t>Count Date</t>
  </si>
  <si>
    <t>System Qty</t>
  </si>
  <si>
    <t>Physical Qty</t>
  </si>
  <si>
    <t>Discrepancy Qty</t>
  </si>
  <si>
    <t>Discrepancy Reason</t>
  </si>
  <si>
    <t>Counted By (Emp ID)</t>
  </si>
  <si>
    <t>2026-04-06</t>
  </si>
  <si>
    <t>Miscount</t>
  </si>
  <si>
    <t>2026-04-13</t>
  </si>
  <si>
    <t>2026-04-20</t>
  </si>
  <si>
    <t>2026-04-27</t>
  </si>
  <si>
    <t>2026-05-04</t>
  </si>
  <si>
    <t>2026-05-11</t>
  </si>
  <si>
    <t>2026-05-18</t>
  </si>
  <si>
    <t>2026-05-25</t>
  </si>
  <si>
    <t>2026-06-01</t>
  </si>
  <si>
    <t>2026-06-08</t>
  </si>
  <si>
    <t>2026-06-15</t>
  </si>
  <si>
    <t>2026-06-22</t>
  </si>
  <si>
    <t>2026-06-29</t>
  </si>
  <si>
    <t>Damage</t>
  </si>
  <si>
    <t>Misplaced</t>
  </si>
  <si>
    <t>System Error</t>
  </si>
  <si>
    <t>Vendor ID</t>
  </si>
  <si>
    <t>Vendor Name</t>
  </si>
  <si>
    <t>Default Lead Time (days)</t>
  </si>
  <si>
    <t>Contact Info</t>
  </si>
  <si>
    <t>Meadowbrook Dairy Co-op</t>
  </si>
  <si>
    <t>orders@meadowbrookdairy.com</t>
  </si>
  <si>
    <t>Cascade Creamery Supply</t>
  </si>
  <si>
    <t>sales@cascadecreamery.com</t>
  </si>
  <si>
    <t>Heritage Farms Dairy</t>
  </si>
  <si>
    <t>orders@heritagefarmsdairy.com</t>
  </si>
  <si>
    <t>Bluegrass Milk Producers</t>
  </si>
  <si>
    <t>sales@bluegrassmilk.com</t>
  </si>
  <si>
    <t>Golden Valley Creamery</t>
  </si>
  <si>
    <t>orders@goldenvalleycreamery.com</t>
  </si>
  <si>
    <t>Crestline Packaging Supply</t>
  </si>
  <si>
    <t>sales@crestlinepack.com</t>
  </si>
  <si>
    <t>Northfield Dairy Ingredients</t>
  </si>
  <si>
    <t>orders@northfielddairy.com</t>
  </si>
  <si>
    <t>Ridgeway Cold Storage Logistics</t>
  </si>
  <si>
    <t>sales@ridgewaycoldstorage.com</t>
  </si>
  <si>
    <t>Coastal Freight Distributors</t>
  </si>
  <si>
    <t>orders@coastalfreight.com</t>
  </si>
  <si>
    <t>Sunrise Dairy Cooperative</t>
  </si>
  <si>
    <t>sales@sunrisedairycoop.com</t>
  </si>
  <si>
    <t>PrecisionPack Supply Co.</t>
  </si>
  <si>
    <t>orders@precisionpack.com</t>
  </si>
  <si>
    <t>Budget Dairy Wholesale</t>
  </si>
  <si>
    <t>sales@budgetdairywholesale.com</t>
  </si>
  <si>
    <t>Receiving ID</t>
  </si>
  <si>
    <t>PO Number</t>
  </si>
  <si>
    <t>Expected Date</t>
  </si>
  <si>
    <t>Actual Date</t>
  </si>
  <si>
    <t>Expected Qty</t>
  </si>
  <si>
    <t>Received Qty</t>
  </si>
  <si>
    <t>Expected Weight</t>
  </si>
  <si>
    <t>Actual Weight</t>
  </si>
  <si>
    <t>BOL Number</t>
  </si>
  <si>
    <t>On Time?</t>
  </si>
  <si>
    <t>Qty Match?</t>
  </si>
  <si>
    <t>Weight Variance %</t>
  </si>
  <si>
    <t>Week #</t>
  </si>
  <si>
    <t>PO-1001</t>
  </si>
  <si>
    <t>BOL-101001</t>
  </si>
  <si>
    <t>PO-1002</t>
  </si>
  <si>
    <t>2026-04-18</t>
  </si>
  <si>
    <t>2026-04-17</t>
  </si>
  <si>
    <t>BOL-101002</t>
  </si>
  <si>
    <t>PO-1003</t>
  </si>
  <si>
    <t>2026-04-24</t>
  </si>
  <si>
    <t>BOL-101003</t>
  </si>
  <si>
    <t>PO-1004</t>
  </si>
  <si>
    <t>2026-04-23</t>
  </si>
  <si>
    <t>BOL-101004</t>
  </si>
  <si>
    <t>PO-1005</t>
  </si>
  <si>
    <t>2026-04-16</t>
  </si>
  <si>
    <t>2026-04-15</t>
  </si>
  <si>
    <t>BOL-101005</t>
  </si>
  <si>
    <t>PO-1006</t>
  </si>
  <si>
    <t>2026-04-12</t>
  </si>
  <si>
    <t>BOL-101006</t>
  </si>
  <si>
    <t>PO-1007</t>
  </si>
  <si>
    <t>2026-04-19</t>
  </si>
  <si>
    <t>BOL-101007</t>
  </si>
  <si>
    <t>PO-1008</t>
  </si>
  <si>
    <t>BOL-101008</t>
  </si>
  <si>
    <t>PO-1009</t>
  </si>
  <si>
    <t>BOL-101009</t>
  </si>
  <si>
    <t>PO-1010</t>
  </si>
  <si>
    <t>BOL-101010</t>
  </si>
  <si>
    <t>PO-1011</t>
  </si>
  <si>
    <t>BOL-101011</t>
  </si>
  <si>
    <t>PO-1012</t>
  </si>
  <si>
    <t>BOL-101012</t>
  </si>
  <si>
    <t>PO-1013</t>
  </si>
  <si>
    <t>BOL-101013</t>
  </si>
  <si>
    <t>PO-1014</t>
  </si>
  <si>
    <t>2026-04-22</t>
  </si>
  <si>
    <t>BOL-101014</t>
  </si>
  <si>
    <t>PO-1015</t>
  </si>
  <si>
    <t>2026-04-25</t>
  </si>
  <si>
    <t>BOL-101015</t>
  </si>
  <si>
    <t>PO-1016</t>
  </si>
  <si>
    <t>2026-04-26</t>
  </si>
  <si>
    <t>BOL-101016</t>
  </si>
  <si>
    <t>PO-1017</t>
  </si>
  <si>
    <t>2026-04-28</t>
  </si>
  <si>
    <t>BOL-101017</t>
  </si>
  <si>
    <t>PO-1018</t>
  </si>
  <si>
    <t>BOL-101018</t>
  </si>
  <si>
    <t>PO-1019</t>
  </si>
  <si>
    <t>BOL-101019</t>
  </si>
  <si>
    <t>PO-1020</t>
  </si>
  <si>
    <t>2026-04-21</t>
  </si>
  <si>
    <t>BOL-101020</t>
  </si>
  <si>
    <t>PO-1021</t>
  </si>
  <si>
    <t>BOL-101021</t>
  </si>
  <si>
    <t>PO-1022</t>
  </si>
  <si>
    <t>BOL-101022</t>
  </si>
  <si>
    <t>PO-1023</t>
  </si>
  <si>
    <t>BOL-101023</t>
  </si>
  <si>
    <t>PO-1024</t>
  </si>
  <si>
    <t>BOL-101024</t>
  </si>
  <si>
    <t>PO-1025</t>
  </si>
  <si>
    <t>BOL-101025</t>
  </si>
  <si>
    <t>PO-1026</t>
  </si>
  <si>
    <t>BOL-101026</t>
  </si>
  <si>
    <t>PO-1027</t>
  </si>
  <si>
    <t>2026-05-05</t>
  </si>
  <si>
    <t>BOL-101027</t>
  </si>
  <si>
    <t>PO-1028</t>
  </si>
  <si>
    <t>BOL-101028</t>
  </si>
  <si>
    <t>PO-1029</t>
  </si>
  <si>
    <t>2026-05-02</t>
  </si>
  <si>
    <t>BOL-101029</t>
  </si>
  <si>
    <t>PO-1030</t>
  </si>
  <si>
    <t>BOL-101030</t>
  </si>
  <si>
    <t>PO-1031</t>
  </si>
  <si>
    <t>BOL-101031</t>
  </si>
  <si>
    <t>PO-1032</t>
  </si>
  <si>
    <t>BOL-101032</t>
  </si>
  <si>
    <t>PO-1033</t>
  </si>
  <si>
    <t>BOL-101033</t>
  </si>
  <si>
    <t>PO-1034</t>
  </si>
  <si>
    <t>2026-05-06</t>
  </si>
  <si>
    <t>2026-05-09</t>
  </si>
  <si>
    <t>BOL-101034</t>
  </si>
  <si>
    <t>PO-1035</t>
  </si>
  <si>
    <t>2026-05-03</t>
  </si>
  <si>
    <t>BOL-101035</t>
  </si>
  <si>
    <t>PO-1036</t>
  </si>
  <si>
    <t>2026-04-29</t>
  </si>
  <si>
    <t>BOL-101036</t>
  </si>
  <si>
    <t>PO-1037</t>
  </si>
  <si>
    <t>2026-04-30</t>
  </si>
  <si>
    <t>BOL-101037</t>
  </si>
  <si>
    <t>PO-1038</t>
  </si>
  <si>
    <t>BOL-101038</t>
  </si>
  <si>
    <t>PO-1039</t>
  </si>
  <si>
    <t>2026-05-01</t>
  </si>
  <si>
    <t>BOL-101039</t>
  </si>
  <si>
    <t>PO-1040</t>
  </si>
  <si>
    <t>BOL-101040</t>
  </si>
  <si>
    <t>PO-1041</t>
  </si>
  <si>
    <t>BOL-101041</t>
  </si>
  <si>
    <t>PO-1042</t>
  </si>
  <si>
    <t>BOL-101042</t>
  </si>
  <si>
    <t>PO-1043</t>
  </si>
  <si>
    <t>BOL-101043</t>
  </si>
  <si>
    <t>PO-1044</t>
  </si>
  <si>
    <t>BOL-101044</t>
  </si>
  <si>
    <t>PO-1045</t>
  </si>
  <si>
    <t>BOL-101045</t>
  </si>
  <si>
    <t>PO-1046</t>
  </si>
  <si>
    <t>2026-05-10</t>
  </si>
  <si>
    <t>BOL-101046</t>
  </si>
  <si>
    <t>PO-1047</t>
  </si>
  <si>
    <t>BOL-101047</t>
  </si>
  <si>
    <t>PO-1048</t>
  </si>
  <si>
    <t>BOL-101048</t>
  </si>
  <si>
    <t>PO-1049</t>
  </si>
  <si>
    <t>BOL-101049</t>
  </si>
  <si>
    <t>PO-1050</t>
  </si>
  <si>
    <t>BOL-101050</t>
  </si>
  <si>
    <t>PO-1051</t>
  </si>
  <si>
    <t>2026-05-13</t>
  </si>
  <si>
    <t>BOL-101051</t>
  </si>
  <si>
    <t>PO-1052</t>
  </si>
  <si>
    <t>2026-05-12</t>
  </si>
  <si>
    <t>BOL-101052</t>
  </si>
  <si>
    <t>PO-1053</t>
  </si>
  <si>
    <t>BOL-101053</t>
  </si>
  <si>
    <t>PO-1054</t>
  </si>
  <si>
    <t>2026-05-07</t>
  </si>
  <si>
    <t>BOL-101054</t>
  </si>
  <si>
    <t>PO-1055</t>
  </si>
  <si>
    <t>BOL-101055</t>
  </si>
  <si>
    <t>PO-1056</t>
  </si>
  <si>
    <t>BOL-101056</t>
  </si>
  <si>
    <t>PO-1057</t>
  </si>
  <si>
    <t>BOL-101057</t>
  </si>
  <si>
    <t>PO-1058</t>
  </si>
  <si>
    <t>BOL-101058</t>
  </si>
  <si>
    <t>PO-1059</t>
  </si>
  <si>
    <t>2026-05-08</t>
  </si>
  <si>
    <t>BOL-101059</t>
  </si>
  <si>
    <t>PO-1060</t>
  </si>
  <si>
    <t>BOL-101060</t>
  </si>
  <si>
    <t>PO-1061</t>
  </si>
  <si>
    <t>2026-05-15</t>
  </si>
  <si>
    <t>BOL-101061</t>
  </si>
  <si>
    <t>PO-1062</t>
  </si>
  <si>
    <t>2026-05-14</t>
  </si>
  <si>
    <t>BOL-101062</t>
  </si>
  <si>
    <t>PO-1063</t>
  </si>
  <si>
    <t>2026-05-16</t>
  </si>
  <si>
    <t>BOL-101063</t>
  </si>
  <si>
    <t>PO-1064</t>
  </si>
  <si>
    <t>BOL-101064</t>
  </si>
  <si>
    <t>PO-1065</t>
  </si>
  <si>
    <t>BOL-101065</t>
  </si>
  <si>
    <t>PO-1066</t>
  </si>
  <si>
    <t>2026-05-19</t>
  </si>
  <si>
    <t>BOL-101066</t>
  </si>
  <si>
    <t>PO-1067</t>
  </si>
  <si>
    <t>BOL-101067</t>
  </si>
  <si>
    <t>PO-1068</t>
  </si>
  <si>
    <t>2026-05-17</t>
  </si>
  <si>
    <t>BOL-101068</t>
  </si>
  <si>
    <t>PO-1069</t>
  </si>
  <si>
    <t>BOL-101069</t>
  </si>
  <si>
    <t>PO-1070</t>
  </si>
  <si>
    <t>BOL-101070</t>
  </si>
  <si>
    <t>PO-1071</t>
  </si>
  <si>
    <t>BOL-101071</t>
  </si>
  <si>
    <t>PO-1072</t>
  </si>
  <si>
    <t>BOL-101072</t>
  </si>
  <si>
    <t>PO-1073</t>
  </si>
  <si>
    <t>BOL-101073</t>
  </si>
  <si>
    <t>PO-1074</t>
  </si>
  <si>
    <t>2026-05-22</t>
  </si>
  <si>
    <t>BOL-101074</t>
  </si>
  <si>
    <t>PO-1075</t>
  </si>
  <si>
    <t>2026-05-20</t>
  </si>
  <si>
    <t>BOL-101075</t>
  </si>
  <si>
    <t>PO-1076</t>
  </si>
  <si>
    <t>2026-05-29</t>
  </si>
  <si>
    <t>BOL-101076</t>
  </si>
  <si>
    <t>PO-1077</t>
  </si>
  <si>
    <t>2026-05-24</t>
  </si>
  <si>
    <t>BOL-101077</t>
  </si>
  <si>
    <t>PO-1078</t>
  </si>
  <si>
    <t>2026-05-21</t>
  </si>
  <si>
    <t>BOL-101078</t>
  </si>
  <si>
    <t>PO-1079</t>
  </si>
  <si>
    <t>BOL-101079</t>
  </si>
  <si>
    <t>PO-1080</t>
  </si>
  <si>
    <t>2026-05-27</t>
  </si>
  <si>
    <t>BOL-101080</t>
  </si>
  <si>
    <t>PO-1081</t>
  </si>
  <si>
    <t>2026-05-23</t>
  </si>
  <si>
    <t>BOL-101081</t>
  </si>
  <si>
    <t>PO-1082</t>
  </si>
  <si>
    <t>BOL-101082</t>
  </si>
  <si>
    <t>PO-1083</t>
  </si>
  <si>
    <t>BOL-101083</t>
  </si>
  <si>
    <t>PO-1084</t>
  </si>
  <si>
    <t>BOL-101084</t>
  </si>
  <si>
    <t>PO-1085</t>
  </si>
  <si>
    <t>BOL-101085</t>
  </si>
  <si>
    <t>PO-1086</t>
  </si>
  <si>
    <t>BOL-101086</t>
  </si>
  <si>
    <t>PO-1087</t>
  </si>
  <si>
    <t>BOL-101087</t>
  </si>
  <si>
    <t>PO-1088</t>
  </si>
  <si>
    <t>2026-05-31</t>
  </si>
  <si>
    <t>BOL-101088</t>
  </si>
  <si>
    <t>PO-1089</t>
  </si>
  <si>
    <t>2026-05-28</t>
  </si>
  <si>
    <t>BOL-101089</t>
  </si>
  <si>
    <t>PO-1090</t>
  </si>
  <si>
    <t>BOL-101090</t>
  </si>
  <si>
    <t>PO-1091</t>
  </si>
  <si>
    <t>BOL-101091</t>
  </si>
  <si>
    <t>PO-1092</t>
  </si>
  <si>
    <t>BOL-101092</t>
  </si>
  <si>
    <t>PO-1093</t>
  </si>
  <si>
    <t>2026-05-26</t>
  </si>
  <si>
    <t>BOL-101093</t>
  </si>
  <si>
    <t>PO-1094</t>
  </si>
  <si>
    <t>BOL-101094</t>
  </si>
  <si>
    <t>PO-1095</t>
  </si>
  <si>
    <t>BOL-101095</t>
  </si>
  <si>
    <t>PO-1096</t>
  </si>
  <si>
    <t>BOL-101096</t>
  </si>
  <si>
    <t>PO-1097</t>
  </si>
  <si>
    <t>BOL-101097</t>
  </si>
  <si>
    <t>PO-1098</t>
  </si>
  <si>
    <t>BOL-101098</t>
  </si>
  <si>
    <t>PO-1099</t>
  </si>
  <si>
    <t>2026-06-03</t>
  </si>
  <si>
    <t>BOL-101099</t>
  </si>
  <si>
    <t>PO-1100</t>
  </si>
  <si>
    <t>2026-06-02</t>
  </si>
  <si>
    <t>BOL-101100</t>
  </si>
  <si>
    <t>PO-1101</t>
  </si>
  <si>
    <t>2026-05-30</t>
  </si>
  <si>
    <t>BOL-101101</t>
  </si>
  <si>
    <t>PO-1102</t>
  </si>
  <si>
    <t>BOL-101102</t>
  </si>
  <si>
    <t>PO-1103</t>
  </si>
  <si>
    <t>BOL-101103</t>
  </si>
  <si>
    <t>PO-1104</t>
  </si>
  <si>
    <t>2026-06-04</t>
  </si>
  <si>
    <t>BOL-101104</t>
  </si>
  <si>
    <t>PO-1105</t>
  </si>
  <si>
    <t>BOL-101105</t>
  </si>
  <si>
    <t>PO-1106</t>
  </si>
  <si>
    <t>BOL-101106</t>
  </si>
  <si>
    <t>PO-1107</t>
  </si>
  <si>
    <t>BOL-101107</t>
  </si>
  <si>
    <t>PO-1108</t>
  </si>
  <si>
    <t>BOL-101108</t>
  </si>
  <si>
    <t>PO-1109</t>
  </si>
  <si>
    <t>2026-06-07</t>
  </si>
  <si>
    <t>BOL-101109</t>
  </si>
  <si>
    <t>PO-1110</t>
  </si>
  <si>
    <t>2026-06-11</t>
  </si>
  <si>
    <t>BOL-101110</t>
  </si>
  <si>
    <t>PO-1111</t>
  </si>
  <si>
    <t>2026-06-06</t>
  </si>
  <si>
    <t>2026-06-05</t>
  </si>
  <si>
    <t>BOL-101111</t>
  </si>
  <si>
    <t>PO-1112</t>
  </si>
  <si>
    <t>2026-06-10</t>
  </si>
  <si>
    <t>2026-06-16</t>
  </si>
  <si>
    <t>BOL-101112</t>
  </si>
  <si>
    <t>PO-1113</t>
  </si>
  <si>
    <t>BOL-101113</t>
  </si>
  <si>
    <t>PO-1114</t>
  </si>
  <si>
    <t>BOL-101114</t>
  </si>
  <si>
    <t>PO-1115</t>
  </si>
  <si>
    <t>BOL-101115</t>
  </si>
  <si>
    <t>PO-1116</t>
  </si>
  <si>
    <t>BOL-101116</t>
  </si>
  <si>
    <t>PO-1117</t>
  </si>
  <si>
    <t>BOL-101117</t>
  </si>
  <si>
    <t>PO-1118</t>
  </si>
  <si>
    <t>BOL-101118</t>
  </si>
  <si>
    <t>PO-1119</t>
  </si>
  <si>
    <t>2026-06-09</t>
  </si>
  <si>
    <t>BOL-101119</t>
  </si>
  <si>
    <t>PO-1120</t>
  </si>
  <si>
    <t>BOL-101120</t>
  </si>
  <si>
    <t>PO-1121</t>
  </si>
  <si>
    <t>BOL-101121</t>
  </si>
  <si>
    <t>PO-1122</t>
  </si>
  <si>
    <t>2026-06-13</t>
  </si>
  <si>
    <t>2026-06-12</t>
  </si>
  <si>
    <t>BOL-101122</t>
  </si>
  <si>
    <t>PO-1123</t>
  </si>
  <si>
    <t>BOL-101123</t>
  </si>
  <si>
    <t>PO-1124</t>
  </si>
  <si>
    <t>BOL-101124</t>
  </si>
  <si>
    <t>PO-1125</t>
  </si>
  <si>
    <t>2026-06-18</t>
  </si>
  <si>
    <t>BOL-101125</t>
  </si>
  <si>
    <t>PO-1126</t>
  </si>
  <si>
    <t>BOL-101126</t>
  </si>
  <si>
    <t>PO-1127</t>
  </si>
  <si>
    <t>2026-06-14</t>
  </si>
  <si>
    <t>BOL-101127</t>
  </si>
  <si>
    <t>PO-1128</t>
  </si>
  <si>
    <t>2026-06-19</t>
  </si>
  <si>
    <t>BOL-101128</t>
  </si>
  <si>
    <t>PO-1129</t>
  </si>
  <si>
    <t>BOL-101129</t>
  </si>
  <si>
    <t>PO-1130</t>
  </si>
  <si>
    <t>BOL-101130</t>
  </si>
  <si>
    <t>PO-1131</t>
  </si>
  <si>
    <t>BOL-101131</t>
  </si>
  <si>
    <t>PO-1132</t>
  </si>
  <si>
    <t>BOL-101132</t>
  </si>
  <si>
    <t>PO-1133</t>
  </si>
  <si>
    <t>BOL-101133</t>
  </si>
  <si>
    <t>PO-1134</t>
  </si>
  <si>
    <t>2026-06-17</t>
  </si>
  <si>
    <t>BOL-101134</t>
  </si>
  <si>
    <t>PO-1135</t>
  </si>
  <si>
    <t>BOL-101135</t>
  </si>
  <si>
    <t>PO-1136</t>
  </si>
  <si>
    <t>BOL-101136</t>
  </si>
  <si>
    <t>PO-1137</t>
  </si>
  <si>
    <t>BOL-101137</t>
  </si>
  <si>
    <t>PO-1138</t>
  </si>
  <si>
    <t>BOL-101138</t>
  </si>
  <si>
    <t>PO-1139</t>
  </si>
  <si>
    <t>2026-06-23</t>
  </si>
  <si>
    <t>BOL-101139</t>
  </si>
  <si>
    <t>PO-1140</t>
  </si>
  <si>
    <t>BOL-101140</t>
  </si>
  <si>
    <t>PO-1141</t>
  </si>
  <si>
    <t>BOL-101141</t>
  </si>
  <si>
    <t>PO-1142</t>
  </si>
  <si>
    <t>BOL-101142</t>
  </si>
  <si>
    <t>PO-1143</t>
  </si>
  <si>
    <t>2026-06-26</t>
  </si>
  <si>
    <t>BOL-101143</t>
  </si>
  <si>
    <t>PO-1144</t>
  </si>
  <si>
    <t>2026-06-24</t>
  </si>
  <si>
    <t>BOL-101144</t>
  </si>
  <si>
    <t>PO-1145</t>
  </si>
  <si>
    <t>2026-06-21</t>
  </si>
  <si>
    <t>BOL-101145</t>
  </si>
  <si>
    <t>PO-1146</t>
  </si>
  <si>
    <t>BOL-101146</t>
  </si>
  <si>
    <t>PO-1147</t>
  </si>
  <si>
    <t>BOL-101147</t>
  </si>
  <si>
    <t>PO-1148</t>
  </si>
  <si>
    <t>2026-06-20</t>
  </si>
  <si>
    <t>BOL-101148</t>
  </si>
  <si>
    <t>PO-1149</t>
  </si>
  <si>
    <t>BOL-101149</t>
  </si>
  <si>
    <t>PO-1150</t>
  </si>
  <si>
    <t>BOL-101150</t>
  </si>
  <si>
    <t>PO-1151</t>
  </si>
  <si>
    <t>2026-06-30</t>
  </si>
  <si>
    <t>BOL-101151</t>
  </si>
  <si>
    <t>PO-1152</t>
  </si>
  <si>
    <t>2026-06-25</t>
  </si>
  <si>
    <t>BOL-101152</t>
  </si>
  <si>
    <t>PO-1153</t>
  </si>
  <si>
    <t>BOL-101153</t>
  </si>
  <si>
    <t>PO-1154</t>
  </si>
  <si>
    <t>2026-06-27</t>
  </si>
  <si>
    <t>BOL-101154</t>
  </si>
  <si>
    <t>PO-1155</t>
  </si>
  <si>
    <t>BOL-101155</t>
  </si>
  <si>
    <t>PO-1156</t>
  </si>
  <si>
    <t>BOL-101156</t>
  </si>
  <si>
    <t>PO-1157</t>
  </si>
  <si>
    <t>BOL-101157</t>
  </si>
  <si>
    <t>PO-1158</t>
  </si>
  <si>
    <t>BOL-101158</t>
  </si>
  <si>
    <t>PO-1159</t>
  </si>
  <si>
    <t>BOL-101159</t>
  </si>
  <si>
    <t>PO-1160</t>
  </si>
  <si>
    <t>BOL-101160</t>
  </si>
  <si>
    <t>PO-1161</t>
  </si>
  <si>
    <t>BOL-101161</t>
  </si>
  <si>
    <t>PO-1162</t>
  </si>
  <si>
    <t>2026-06-28</t>
  </si>
  <si>
    <t>BOL-101162</t>
  </si>
  <si>
    <t>PO-1163</t>
  </si>
  <si>
    <t>BOL-101163</t>
  </si>
  <si>
    <t>PO-1164</t>
  </si>
  <si>
    <t>BOL-101164</t>
  </si>
  <si>
    <t>PO-1165</t>
  </si>
  <si>
    <t>2026-07-05</t>
  </si>
  <si>
    <t>2026-07-04</t>
  </si>
  <si>
    <t>BOL-101165</t>
  </si>
  <si>
    <t>PO-1166</t>
  </si>
  <si>
    <t>2026-07-03</t>
  </si>
  <si>
    <t>BOL-101166</t>
  </si>
  <si>
    <t>PO-1167</t>
  </si>
  <si>
    <t>2026-07-02</t>
  </si>
  <si>
    <t>BOL-101167</t>
  </si>
  <si>
    <t>PO-1168</t>
  </si>
  <si>
    <t>2026-07-01</t>
  </si>
  <si>
    <t>BOL-101168</t>
  </si>
  <si>
    <t>PO-1169</t>
  </si>
  <si>
    <t>BOL-101169</t>
  </si>
  <si>
    <t>PO-1170</t>
  </si>
  <si>
    <t>BOL-101170</t>
  </si>
  <si>
    <t>PO-1171</t>
  </si>
  <si>
    <t>BOL-101171</t>
  </si>
  <si>
    <t>PO-1172</t>
  </si>
  <si>
    <t>BOL-101172</t>
  </si>
  <si>
    <t>PO-1173</t>
  </si>
  <si>
    <t>BOL-101173</t>
  </si>
  <si>
    <t>PO-1174</t>
  </si>
  <si>
    <t>BOL-101174</t>
  </si>
  <si>
    <t>PO-1175</t>
  </si>
  <si>
    <t>BOL-101175</t>
  </si>
  <si>
    <t>PO-1176</t>
  </si>
  <si>
    <t>BOL-101176</t>
  </si>
  <si>
    <t>PO-1177</t>
  </si>
  <si>
    <t>BOL-101177</t>
  </si>
  <si>
    <t>PO-1178</t>
  </si>
  <si>
    <t>2026-07-06</t>
  </si>
  <si>
    <t>BOL-101178</t>
  </si>
  <si>
    <t>PO-1179</t>
  </si>
  <si>
    <t>BOL-101179</t>
  </si>
  <si>
    <t>PO-1180</t>
  </si>
  <si>
    <t>2026-07-11</t>
  </si>
  <si>
    <t>BOL-101180</t>
  </si>
  <si>
    <t>PO-1181</t>
  </si>
  <si>
    <t>2026-07-08</t>
  </si>
  <si>
    <t>BOL-101181</t>
  </si>
  <si>
    <t>PO-1182</t>
  </si>
  <si>
    <t>BOL-101182</t>
  </si>
  <si>
    <t>PO-1183</t>
  </si>
  <si>
    <t>BOL-101183</t>
  </si>
  <si>
    <t>PO-1184</t>
  </si>
  <si>
    <t>2026-07-14</t>
  </si>
  <si>
    <t>2026-07-20</t>
  </si>
  <si>
    <t>BOL-101184</t>
  </si>
  <si>
    <t>PO-1185</t>
  </si>
  <si>
    <t>2026-07-12</t>
  </si>
  <si>
    <t>BOL-101185</t>
  </si>
  <si>
    <t>PO-1186</t>
  </si>
  <si>
    <t>BOL-101186</t>
  </si>
  <si>
    <t>PO-1187</t>
  </si>
  <si>
    <t>BOL-101187</t>
  </si>
  <si>
    <t>PO-1188</t>
  </si>
  <si>
    <t>BOL-101188</t>
  </si>
  <si>
    <t>PO-1189</t>
  </si>
  <si>
    <t>BOL-101189</t>
  </si>
  <si>
    <t>PO-1190</t>
  </si>
  <si>
    <t>2026-07-09</t>
  </si>
  <si>
    <t>2026-07-10</t>
  </si>
  <si>
    <t>BOL-101190</t>
  </si>
  <si>
    <t>PO-1191</t>
  </si>
  <si>
    <t>BOL-101191</t>
  </si>
  <si>
    <t>PO-1192</t>
  </si>
  <si>
    <t>BOL-101192</t>
  </si>
  <si>
    <t>PO-1193</t>
  </si>
  <si>
    <t>2026-07-13</t>
  </si>
  <si>
    <t>BOL-101193</t>
  </si>
  <si>
    <t>PO-1194</t>
  </si>
  <si>
    <t>BOL-101194</t>
  </si>
  <si>
    <t>PO-1195</t>
  </si>
  <si>
    <t>BOL-101195</t>
  </si>
  <si>
    <t>Inventory Accuracy Dashboard</t>
  </si>
  <si>
    <t>Pillar 1 of 3  |  Source: CycleCounts tab</t>
  </si>
  <si>
    <t>Total Discrepancies</t>
  </si>
  <si>
    <t>Overall Accuracy %</t>
  </si>
  <si>
    <t>Discrepancy Rate by Category</t>
  </si>
  <si>
    <t>Total Counts</t>
  </si>
  <si>
    <t>Discrepancies</t>
  </si>
  <si>
    <t>Discrepancy Rate</t>
  </si>
  <si>
    <t>Weekly Accuracy Trend</t>
  </si>
  <si>
    <t>Week Of</t>
  </si>
  <si>
    <t>Accuracy %</t>
  </si>
  <si>
    <t>Vendor Performance Dashboard</t>
  </si>
  <si>
    <t>Pillar 2 of 3  |  Source: Receiving tab</t>
  </si>
  <si>
    <t>On-Time Delivery %</t>
  </si>
  <si>
    <t>Qty Accuracy %</t>
  </si>
  <si>
    <t>Avg Weight Variance</t>
  </si>
  <si>
    <t>Performance by Vendor</t>
  </si>
  <si>
    <t>Vendor</t>
  </si>
  <si>
    <t>Total POs</t>
  </si>
  <si>
    <t>On-Time %</t>
  </si>
  <si>
    <t>Qty Match %</t>
  </si>
  <si>
    <t>Avg Weight Variance %</t>
  </si>
  <si>
    <t>Weekly On-Time Delivery Trend</t>
  </si>
  <si>
    <t>Week</t>
  </si>
  <si>
    <t>On-Time Count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</si>
  <si>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</si>
  <si>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</si>
  <si>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</si>
  <si>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</si>
  <si>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</si>
  <si>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</si>
  <si>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</si>
  <si>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</si>
  <si>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</si>
  <si>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</si>
  <si>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</si>
  <si>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</si>
  <si>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</si>
  <si>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Employee ID</t>
  </si>
  <si>
    <t>First Name</t>
  </si>
  <si>
    <t>Role</t>
  </si>
  <si>
    <t>Hire Date</t>
  </si>
  <si>
    <t>Hourly Wage</t>
  </si>
  <si>
    <t>Jordan</t>
  </si>
  <si>
    <t>Picker</t>
  </si>
  <si>
    <t>2023-06-12</t>
  </si>
  <si>
    <t>Casey</t>
  </si>
  <si>
    <t>2024-01-08</t>
  </si>
  <si>
    <t>Morgan</t>
  </si>
  <si>
    <t>2022-11-03</t>
  </si>
  <si>
    <t>Taylor</t>
  </si>
  <si>
    <t>2024-05-20</t>
  </si>
  <si>
    <t>Riley</t>
  </si>
  <si>
    <t>Packer</t>
  </si>
  <si>
    <t>2023-09-15</t>
  </si>
  <si>
    <t>Avery</t>
  </si>
  <si>
    <t>2024-02-01</t>
  </si>
  <si>
    <t>Cameron</t>
  </si>
  <si>
    <t>2022-08-22</t>
  </si>
  <si>
    <t>Dakota</t>
  </si>
  <si>
    <t>Forklift Operator</t>
  </si>
  <si>
    <t>2023-03-10</t>
  </si>
  <si>
    <t>Hayden</t>
  </si>
  <si>
    <t>2024-04-05</t>
  </si>
  <si>
    <t>Reese</t>
  </si>
  <si>
    <t>Receiving Clerk</t>
  </si>
  <si>
    <t>2023-12-01</t>
  </si>
  <si>
    <t>Skyler</t>
  </si>
  <si>
    <t>2022-07-18</t>
  </si>
  <si>
    <t>Peyton</t>
  </si>
  <si>
    <t>Cycle Counter</t>
  </si>
  <si>
    <t>2024-06-09</t>
  </si>
  <si>
    <t>Rowan</t>
  </si>
  <si>
    <t>2023-01-25</t>
  </si>
  <si>
    <t>Emerson</t>
  </si>
  <si>
    <t>Shift Supervisor</t>
  </si>
  <si>
    <t>2021-10-04</t>
  </si>
  <si>
    <t>Finley</t>
  </si>
  <si>
    <t>2022-03-14</t>
  </si>
  <si>
    <t>Sawyer</t>
  </si>
  <si>
    <t>2023-08-30</t>
  </si>
  <si>
    <t>Log ID</t>
  </si>
  <si>
    <t>Work Date</t>
  </si>
  <si>
    <t>Shift</t>
  </si>
  <si>
    <t>Task Type</t>
  </si>
  <si>
    <t>Units Processed</t>
  </si>
  <si>
    <t>Hours Worked</t>
  </si>
  <si>
    <t>Employee Name</t>
  </si>
  <si>
    <t>Units/Hour</t>
  </si>
  <si>
    <t>Attainment %</t>
  </si>
  <si>
    <t>Labor Cost</t>
  </si>
  <si>
    <t>AM</t>
  </si>
  <si>
    <t>Picking</t>
  </si>
  <si>
    <t>PM</t>
  </si>
  <si>
    <t>Packing</t>
  </si>
  <si>
    <t>Receiving</t>
  </si>
  <si>
    <t>Cycle Count</t>
  </si>
  <si>
    <t>2026-04-07</t>
  </si>
  <si>
    <t>2026-04-08</t>
  </si>
  <si>
    <t>2026-04-09</t>
  </si>
  <si>
    <t>2026-04-10</t>
  </si>
  <si>
    <t>2026-04-14</t>
  </si>
  <si>
    <t>Labor Productivity Dashboard</t>
  </si>
  <si>
    <t>Pillar 3 of 3  |  Source: LaborLog tab</t>
  </si>
  <si>
    <t>Total Hours Worked</t>
  </si>
  <si>
    <t>Total Units Processed</t>
  </si>
  <si>
    <t>Avg Attainment %</t>
  </si>
  <si>
    <t>Avg Units/Hour by Task Type</t>
  </si>
  <si>
    <t>Total Shifts</t>
  </si>
  <si>
    <t>Total Hours</t>
  </si>
  <si>
    <t>Avg Units/Hour</t>
  </si>
  <si>
    <t>Avg Units/Hour by Employee</t>
  </si>
  <si>
    <t>Employee</t>
  </si>
  <si>
    <t>Task Baseline Assumptions (used for Attainment %)</t>
  </si>
  <si>
    <t>Baseline Units/Hour</t>
  </si>
  <si>
    <t>Weekly Attainment Trend</t>
  </si>
  <si>
    <t>Order ID</t>
  </si>
  <si>
    <t>Customer</t>
  </si>
  <si>
    <t>Qty Ordered</t>
  </si>
  <si>
    <t>Order Date</t>
  </si>
  <si>
    <t>Promised Ship Date</t>
  </si>
  <si>
    <t>Actual Ship Date</t>
  </si>
  <si>
    <t>Status</t>
  </si>
  <si>
    <t>Satisfaction (1-5)</t>
  </si>
  <si>
    <t>Late?</t>
  </si>
  <si>
    <t>Est. Ship Cost</t>
  </si>
  <si>
    <t>Prairie Table Restaurant</t>
  </si>
  <si>
    <t>2026-04-11</t>
  </si>
  <si>
    <t>Shipped</t>
  </si>
  <si>
    <t>Riverbend Restaurant Group</t>
  </si>
  <si>
    <t>Ironwood Diner</t>
  </si>
  <si>
    <t>Cedar Grove Market</t>
  </si>
  <si>
    <t>BrightAcre Family Diner</t>
  </si>
  <si>
    <t>Desert Bloom Grocers</t>
  </si>
  <si>
    <t>Highland Cafe &amp; Bakery</t>
  </si>
  <si>
    <t>Pinecrest Family Diner</t>
  </si>
  <si>
    <t>Willowbrook Cafe</t>
  </si>
  <si>
    <t>Sunridge Grocery Co-op</t>
  </si>
  <si>
    <t>Clearwater Foods Co-op</t>
  </si>
  <si>
    <t>Maple Ridge Creamery Cafe</t>
  </si>
  <si>
    <t>Redwood Bistro &amp; Grill</t>
  </si>
  <si>
    <t>Copperline Bistro</t>
  </si>
  <si>
    <t>Northgate Family Restaurant</t>
  </si>
  <si>
    <t>Bluewater Grocers Co-op</t>
  </si>
  <si>
    <t>Harborview Bistro</t>
  </si>
  <si>
    <t>Coastal Market Supply</t>
  </si>
  <si>
    <t>Timberline Foods Market</t>
  </si>
  <si>
    <t>Juniper Foods Partners</t>
  </si>
  <si>
    <t>Amber Fields Market</t>
  </si>
  <si>
    <t>Fairview Foods Market</t>
  </si>
  <si>
    <t>Golden Valley Grocers</t>
  </si>
  <si>
    <t>Meadowbrook Market Co.</t>
  </si>
  <si>
    <t>Lakeside Cafe &amp; Grill</t>
  </si>
  <si>
    <t>Stonegate Grocers</t>
  </si>
  <si>
    <t>Falcon Ridge Diner</t>
  </si>
  <si>
    <t>Ridgeline Grocery Supply</t>
  </si>
  <si>
    <t>Silverline Catering Co.</t>
  </si>
  <si>
    <t>Summit Ridge Bistro</t>
  </si>
  <si>
    <t>2026-07-07</t>
  </si>
  <si>
    <t>Open</t>
  </si>
  <si>
    <t>Return ID</t>
  </si>
  <si>
    <t>Return Date</t>
  </si>
  <si>
    <t>Reason</t>
  </si>
  <si>
    <t>Qty Returned</t>
  </si>
  <si>
    <t>Changed Mind</t>
  </si>
  <si>
    <t>Wrong Item</t>
  </si>
  <si>
    <t>Damaged in Transit</t>
  </si>
  <si>
    <t>Defective</t>
  </si>
  <si>
    <t>2026-07-22</t>
  </si>
  <si>
    <t>2026-07-16</t>
  </si>
  <si>
    <t>Order Fulfillment Dashboard</t>
  </si>
  <si>
    <t>Late Shipment %</t>
  </si>
  <si>
    <t>Avg Satisfaction (1-5)</t>
  </si>
  <si>
    <t>Damaged Goods (Cycle Counts)</t>
  </si>
  <si>
    <t>Returns by Reason</t>
  </si>
  <si>
    <t>Count</t>
  </si>
  <si>
    <t>Weekly Late Shipment % Trend</t>
  </si>
  <si>
    <t>Shipped Orders</t>
  </si>
  <si>
    <t>Late Orders</t>
  </si>
  <si>
    <t>Late %</t>
  </si>
  <si>
    <t>Note: 'Week #' buckets are derived from Order Date; a small number of orders near the end of the window may fall outside weeks 1-13.</t>
  </si>
  <si>
    <t>Capacity &amp; Cost Dashboard</t>
  </si>
  <si>
    <t>Every metric here rests on a documented assumption (see notes) — not fabricated, but estimated</t>
  </si>
  <si>
    <t>Inventory Value</t>
  </si>
  <si>
    <t>Total On-Hand Inventory Value</t>
  </si>
  <si>
    <t>Formula: SUM across all SKUs of (most recent cycle count qty × unit cost)</t>
  </si>
  <si>
    <t>Warehouse Capacity Utilization</t>
  </si>
  <si>
    <t>Assumption: Total Storage Capacity (units)</t>
  </si>
  <si>
    <t>Current On-Hand Units (all SKUs)</t>
  </si>
  <si>
    <t>Capacity Utilization %</t>
  </si>
  <si>
    <t>Dock Utilization</t>
  </si>
  <si>
    <t>Assumption: Dock Doors</t>
  </si>
  <si>
    <t>Assumption: Operating Hours/Day</t>
  </si>
  <si>
    <t>Assumption: Avg Truck Handling Time (hrs)</t>
  </si>
  <si>
    <t>Total Trucks This Period (Receiving + Shipped Orders)</t>
  </si>
  <si>
    <t>Dock-Hours Available (13-week period)</t>
  </si>
  <si>
    <t>Dock Utilization %</t>
  </si>
  <si>
    <t>Estimated Shipping Cost</t>
  </si>
  <si>
    <t>Assumption: Base Rate per Shipment ($)</t>
  </si>
  <si>
    <t>Assumption: Rate per Pound ($)</t>
  </si>
  <si>
    <t>Assumption: Avg Weight per Unit by Category (lbs)</t>
  </si>
  <si>
    <t>Avg Weight/Unit (lbs)</t>
  </si>
  <si>
    <t>Total Estimated Shipping Cost (Shipped Orders)</t>
  </si>
  <si>
    <t>Total Labor Cost (13 weeks)</t>
  </si>
  <si>
    <t>Per-category weight, base rate, and per-lb rate are stated assumptions; actual carrier invoices were not available.</t>
  </si>
  <si>
    <t>Dock count/hours/handling-time are stated assumptions for this estimate.</t>
  </si>
  <si>
    <t>20,000-unit capacity is a stated assumption, not a measured facility figure.</t>
  </si>
  <si>
    <t>Real calculation (hours worked × assigned hourly wage); wages themselves are a role-based assumption — see Employees tab.</t>
  </si>
  <si>
    <t xml:space="preserve">Milk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</si>
</sst>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$#,##0.00"/>
    <numFmt numFmtId="166" formatCode="0.0"/>
  </numFmts>
  <fonts count="19" x14ac:knownFonts="1">
    <font>
      <sz val="11"/>
      <color theme="1"/>
      <name val="Calibri"/>
      <family val="2"/>
      <charset val="1"/>
    </font>
    <font>
      <b/>
      <sz val="16"/>
      <color rgb="FF1F4E78"/>
      <name val="Arial"/>
      <family val="2"/>
    </font>
    <font>
      <i/>
      <sz val="10"/>
      <color rgb="FF666666"/>
      <name val="Arial"/>
      <family val="2"/>
    </font>
    <font>
      <b/>
      <sz val="14"/>
      <color rgb="FF333333"/>
      <name val="Arial"/>
      <family val="2"/>
    </font>
    <font>
      <sz val="10"/>
      <name val="Arial"/>
      <family val="2"/>
    </font>
    <font>
      <b/>
      <sz val="18"/>
      <color rgb="FF1F4E78"/>
      <name val="Arial"/>
      <family val="2"/>
    </font>
    <font>
      <u/>
      <sz val="10"/>
      <color rgb="FF1155CC"/>
      <name val="Arial"/>
      <family val="2"/>
    </font>
    <font>
      <b/>
      <sz val="14"/>
      <color rgb="FF1F4E78"/>
      <name val="Arial"/>
      <family val="2"/>
    </font>
    <font>
      <i/>
      <sz val="14"/>
      <color rgb="FF666666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charset val="1"/>
    </font>
    <font>
      <b/>
      <sz val="14"/>
      <color rgb="FFFFFFFF"/>
      <name val="Arial"/>
      <family val="2"/>
    </font>
    <font>
      <b/>
      <sz val="14"/>
      <color rgb="FF9C0006"/>
      <name val="Arial"/>
      <family val="2"/>
    </font>
    <font>
      <b/>
      <sz val="14"/>
      <color rgb="FF006100"/>
      <name val="Arial"/>
      <family val="2"/>
    </font>
    <font>
      <u/>
      <sz val="14"/>
      <color rgb="FF1155CC"/>
      <name val="Arial"/>
      <family val="2"/>
    </font>
    <font>
      <i/>
      <sz val="14"/>
      <color rgb="FF888888"/>
      <name val="Arial"/>
      <family val="2"/>
    </font>
    <font>
      <b/>
      <sz val="14"/>
      <color rgb="FF9C65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D9D9D9"/>
      </patternFill>
    </fill>
    <fill>
      <patternFill patternType="solid">
        <fgColor rgb="FF1F4E78"/>
        <bgColor rgb="FF00336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1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0" fontId="4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5" borderId="0" xfId="0" applyFont="1" applyFill="1" applyAlignment="1">
      <alignment horizontal="center"/>
    </xf>
    <xf numFmtId="0" fontId="10" fillId="0" borderId="1" xfId="0" applyFont="1" applyBorder="1"/>
    <xf numFmtId="1" fontId="10" fillId="0" borderId="1" xfId="0" applyNumberFormat="1" applyFont="1" applyBorder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16" fillId="0" borderId="0" xfId="0" applyFont="1"/>
    <xf numFmtId="1" fontId="7" fillId="0" borderId="0" xfId="0" applyNumberFormat="1" applyFont="1"/>
    <xf numFmtId="164" fontId="7" fillId="0" borderId="0" xfId="0" applyNumberFormat="1" applyFont="1"/>
    <xf numFmtId="0" fontId="17" fillId="0" borderId="0" xfId="0" applyFont="1"/>
    <xf numFmtId="166" fontId="10" fillId="0" borderId="1" xfId="0" applyNumberFormat="1" applyFont="1" applyBorder="1"/>
    <xf numFmtId="3" fontId="7" fillId="0" borderId="0" xfId="0" applyNumberFormat="1" applyFont="1"/>
    <xf numFmtId="3" fontId="10" fillId="0" borderId="1" xfId="0" applyNumberFormat="1" applyFont="1" applyBorder="1"/>
    <xf numFmtId="2" fontId="7" fillId="0" borderId="0" xfId="0" applyNumberFormat="1" applyFont="1"/>
    <xf numFmtId="165" fontId="7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0" fontId="15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</cellXfs>
  <cellStyles count="1">
    <cellStyle name="Normal" xfId="0" builtinId="0"/>
  </cellStyles>
  <dxfs count="112">
    <dxf>
      <font>
        <b/>
        <color rgb="FF006100"/>
        <name val="Arial"/>
        <charset val="1"/>
      </font>
      <fill>
        <patternFill>
          <bgColor rgb="FFC6EF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6500"/>
        <name val="Arial"/>
        <charset val="1"/>
      </font>
      <fill>
        <patternFill>
          <bgColor rgb="FFFFEB9C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6500"/>
        <name val="Arial"/>
        <charset val="1"/>
      </font>
      <fill>
        <patternFill>
          <bgColor rgb="FFFFEB9C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6500"/>
        <name val="Arial"/>
        <charset val="1"/>
      </font>
      <fill>
        <patternFill>
          <bgColor rgb="FFFFEB9C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CCCCC"/>
      <rgbColor rgb="FF878787"/>
      <rgbColor rgb="FF9999FF"/>
      <rgbColor rgb="FF993366"/>
      <rgbColor rgb="FFFFFFCC"/>
      <rgbColor rgb="FFCCFFFF"/>
      <rgbColor rgb="FF660066"/>
      <rgbColor rgb="FFFF8080"/>
      <rgbColor rgb="FF1155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A7EBB"/>
      <rgbColor rgb="FF33CCCC"/>
      <rgbColor rgb="FF99CC00"/>
      <rgbColor rgb="FFFFCC00"/>
      <rgbColor rgb="FFFF9900"/>
      <rgbColor rgb="FFFF6600"/>
      <rgbColor rgb="FF666666"/>
      <rgbColor rgb="FF888888"/>
      <rgbColor rgb="FF003366"/>
      <rgbColor rgb="FF4F81BD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Units Ordered by SKU (Customer Demand)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'SKU Tracker'!$K$9</c:f>
              <c:strCache>
                <c:ptCount val="1"/>
                <c:pt idx="0">
                  <c:v>Units Ordered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'SKU Tracker'!$B$10:$B$39</c:f>
              <c:strCache>
                <c:ptCount val="30"/>
                <c:pt idx="0">
                  <c:v>SKU-1001</c:v>
                </c:pt>
                <c:pt idx="1">
                  <c:v>SKU-1002</c:v>
                </c:pt>
                <c:pt idx="2">
                  <c:v>SKU-1003</c:v>
                </c:pt>
                <c:pt idx="3">
                  <c:v>SKU-1004</c:v>
                </c:pt>
                <c:pt idx="4">
                  <c:v>SKU-2001</c:v>
                </c:pt>
                <c:pt idx="5">
                  <c:v>SKU-2002</c:v>
                </c:pt>
                <c:pt idx="6">
                  <c:v>SKU-2003</c:v>
                </c:pt>
                <c:pt idx="7">
                  <c:v>SKU-2004</c:v>
                </c:pt>
                <c:pt idx="8">
                  <c:v>SKU-3001</c:v>
                </c:pt>
                <c:pt idx="9">
                  <c:v>SKU-3002</c:v>
                </c:pt>
                <c:pt idx="10">
                  <c:v>SKU-3003</c:v>
                </c:pt>
                <c:pt idx="11">
                  <c:v>SKU-4001</c:v>
                </c:pt>
                <c:pt idx="12">
                  <c:v>SKU-4002</c:v>
                </c:pt>
                <c:pt idx="13">
                  <c:v>SKU-4003</c:v>
                </c:pt>
                <c:pt idx="14">
                  <c:v>SKU-5001</c:v>
                </c:pt>
                <c:pt idx="15">
                  <c:v>SKU-5002</c:v>
                </c:pt>
                <c:pt idx="16">
                  <c:v>SKU-5003</c:v>
                </c:pt>
                <c:pt idx="17">
                  <c:v>SKU-5004</c:v>
                </c:pt>
                <c:pt idx="18">
                  <c:v>SKU-6001</c:v>
                </c:pt>
                <c:pt idx="19">
                  <c:v>SKU-6002</c:v>
                </c:pt>
                <c:pt idx="20">
                  <c:v>SKU-6003</c:v>
                </c:pt>
                <c:pt idx="21">
                  <c:v>SKU-6004</c:v>
                </c:pt>
                <c:pt idx="22">
                  <c:v>SKU-6005</c:v>
                </c:pt>
                <c:pt idx="23">
                  <c:v>SKU-6006</c:v>
                </c:pt>
                <c:pt idx="24">
                  <c:v>SKU-7001</c:v>
                </c:pt>
                <c:pt idx="25">
                  <c:v>SKU-7002</c:v>
                </c:pt>
                <c:pt idx="26">
                  <c:v>SKU-7003</c:v>
                </c:pt>
                <c:pt idx="27">
                  <c:v>SKU-8001</c:v>
                </c:pt>
                <c:pt idx="28">
                  <c:v>SKU-8002</c:v>
                </c:pt>
                <c:pt idx="29">
                  <c:v>SKU-8003</c:v>
                </c:pt>
              </c:strCache>
            </c:strRef>
          </c:cat>
          <c:val>
            <c:numRef>
              <c:f>'SKU Tracker'!$K$10:$K$39</c:f>
              <c:numCache>
                <c:formatCode>0</c:formatCode>
                <c:ptCount val="30"/>
                <c:pt idx="0">
                  <c:v>443</c:v>
                </c:pt>
                <c:pt idx="1">
                  <c:v>338</c:v>
                </c:pt>
                <c:pt idx="2">
                  <c:v>284</c:v>
                </c:pt>
                <c:pt idx="3">
                  <c:v>267</c:v>
                </c:pt>
                <c:pt idx="4">
                  <c:v>127</c:v>
                </c:pt>
                <c:pt idx="5">
                  <c:v>105</c:v>
                </c:pt>
                <c:pt idx="6">
                  <c:v>70</c:v>
                </c:pt>
                <c:pt idx="7">
                  <c:v>351</c:v>
                </c:pt>
                <c:pt idx="8">
                  <c:v>100</c:v>
                </c:pt>
                <c:pt idx="9">
                  <c:v>51</c:v>
                </c:pt>
                <c:pt idx="10">
                  <c:v>209</c:v>
                </c:pt>
                <c:pt idx="11">
                  <c:v>204</c:v>
                </c:pt>
                <c:pt idx="12">
                  <c:v>178</c:v>
                </c:pt>
                <c:pt idx="13">
                  <c:v>181</c:v>
                </c:pt>
                <c:pt idx="14">
                  <c:v>94</c:v>
                </c:pt>
                <c:pt idx="15">
                  <c:v>100</c:v>
                </c:pt>
                <c:pt idx="16">
                  <c:v>212</c:v>
                </c:pt>
                <c:pt idx="17">
                  <c:v>108</c:v>
                </c:pt>
                <c:pt idx="18">
                  <c:v>474</c:v>
                </c:pt>
                <c:pt idx="19">
                  <c:v>190</c:v>
                </c:pt>
                <c:pt idx="20">
                  <c:v>137</c:v>
                </c:pt>
                <c:pt idx="21">
                  <c:v>426</c:v>
                </c:pt>
                <c:pt idx="22">
                  <c:v>271</c:v>
                </c:pt>
                <c:pt idx="23">
                  <c:v>664</c:v>
                </c:pt>
                <c:pt idx="24">
                  <c:v>99</c:v>
                </c:pt>
                <c:pt idx="25">
                  <c:v>106</c:v>
                </c:pt>
                <c:pt idx="26">
                  <c:v>46</c:v>
                </c:pt>
                <c:pt idx="27">
                  <c:v>73</c:v>
                </c:pt>
                <c:pt idx="28">
                  <c:v>74</c:v>
                </c:pt>
                <c:pt idx="2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1-994F-A71D-C273BCEE1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17791"/>
        <c:axId val="21929483"/>
      </c:barChart>
      <c:catAx>
        <c:axId val="741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929483"/>
        <c:crosses val="autoZero"/>
        <c:auto val="1"/>
        <c:lblAlgn val="ctr"/>
        <c:lblOffset val="100"/>
        <c:noMultiLvlLbl val="0"/>
      </c:catAx>
      <c:valAx>
        <c:axId val="2192948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 Ordered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11779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Discrepancy Rate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'Inventory Dashboard'!$E$9</c:f>
              <c:strCache>
                <c:ptCount val="1"/>
                <c:pt idx="0">
                  <c:v>Discrepancy Rate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Dashboard'!$B$10:$B$17</c:f>
              <c:strCache>
                <c:ptCount val="8"/>
                <c:pt idx="0">
                  <c:v>Butter</c:v>
                </c:pt>
                <c:pt idx="1">
                  <c:v>Cheese</c:v>
                </c:pt>
                <c:pt idx="2">
                  <c:v>Cream &amp; Creamers</c:v>
                </c:pt>
                <c:pt idx="3">
                  <c:v>Cultured &amp; Specialty</c:v>
                </c:pt>
                <c:pt idx="4">
                  <c:v>Ice Cream &amp; Frozen</c:v>
                </c:pt>
                <c:pt idx="5">
                  <c:v>Milk</c:v>
                </c:pt>
                <c:pt idx="6">
                  <c:v>Packaging &amp; Supplies</c:v>
                </c:pt>
                <c:pt idx="7">
                  <c:v>Yogurt</c:v>
                </c:pt>
              </c:strCache>
            </c:strRef>
          </c:cat>
          <c:val>
            <c:numRef>
              <c:f>'Inventory Dashboard'!$E$10:$E$17</c:f>
              <c:numCache>
                <c:formatCode>0.0%</c:formatCode>
                <c:ptCount val="8"/>
                <c:pt idx="0">
                  <c:v>0.10256410256410256</c:v>
                </c:pt>
                <c:pt idx="1">
                  <c:v>9.6153846153846159E-2</c:v>
                </c:pt>
                <c:pt idx="2">
                  <c:v>9.6153846153846159E-2</c:v>
                </c:pt>
                <c:pt idx="3">
                  <c:v>0.10256410256410256</c:v>
                </c:pt>
                <c:pt idx="4">
                  <c:v>0.10256410256410256</c:v>
                </c:pt>
                <c:pt idx="5">
                  <c:v>5.7692307692307696E-2</c:v>
                </c:pt>
                <c:pt idx="6">
                  <c:v>0.16666666666666666</c:v>
                </c:pt>
                <c:pt idx="7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F-334A-9160-17859444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90031"/>
        <c:axId val="30649726"/>
      </c:barChart>
      <c:catAx>
        <c:axId val="7079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649726"/>
        <c:crosses val="autoZero"/>
        <c:auto val="1"/>
        <c:lblAlgn val="ctr"/>
        <c:lblOffset val="100"/>
        <c:noMultiLvlLbl val="0"/>
      </c:catAx>
      <c:valAx>
        <c:axId val="306497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Discrepancy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079003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Weekly Inventory Accuracy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'Inventory Dashboard'!$E$20</c:f>
              <c:strCache>
                <c:ptCount val="1"/>
                <c:pt idx="0">
                  <c:v>Accuracy %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'Inventory Dashboard'!$B$21:$B$33</c:f>
              <c:strCache>
                <c:ptCount val="13"/>
                <c:pt idx="0">
                  <c:v>2026-04-06</c:v>
                </c:pt>
                <c:pt idx="1">
                  <c:v>2026-04-13</c:v>
                </c:pt>
                <c:pt idx="2">
                  <c:v>2026-04-20</c:v>
                </c:pt>
                <c:pt idx="3">
                  <c:v>2026-04-27</c:v>
                </c:pt>
                <c:pt idx="4">
                  <c:v>2026-05-04</c:v>
                </c:pt>
                <c:pt idx="5">
                  <c:v>2026-05-11</c:v>
                </c:pt>
                <c:pt idx="6">
                  <c:v>2026-05-18</c:v>
                </c:pt>
                <c:pt idx="7">
                  <c:v>2026-05-25</c:v>
                </c:pt>
                <c:pt idx="8">
                  <c:v>2026-06-01</c:v>
                </c:pt>
                <c:pt idx="9">
                  <c:v>2026-06-08</c:v>
                </c:pt>
                <c:pt idx="10">
                  <c:v>2026-06-15</c:v>
                </c:pt>
                <c:pt idx="11">
                  <c:v>2026-06-22</c:v>
                </c:pt>
                <c:pt idx="12">
                  <c:v>2026-06-29</c:v>
                </c:pt>
              </c:strCache>
            </c:strRef>
          </c:cat>
          <c:val>
            <c:numRef>
              <c:f>'Inventory Dashboard'!$E$21:$E$33</c:f>
              <c:numCache>
                <c:formatCode>0.0%</c:formatCode>
                <c:ptCount val="13"/>
                <c:pt idx="0">
                  <c:v>0.9</c:v>
                </c:pt>
                <c:pt idx="1">
                  <c:v>0.8666666666666667</c:v>
                </c:pt>
                <c:pt idx="2">
                  <c:v>0.8666666666666667</c:v>
                </c:pt>
                <c:pt idx="3">
                  <c:v>0.76666666666666661</c:v>
                </c:pt>
                <c:pt idx="4">
                  <c:v>0.96666666666666667</c:v>
                </c:pt>
                <c:pt idx="5">
                  <c:v>0.93333333333333335</c:v>
                </c:pt>
                <c:pt idx="6">
                  <c:v>0.96666666666666667</c:v>
                </c:pt>
                <c:pt idx="7">
                  <c:v>0.93333333333333335</c:v>
                </c:pt>
                <c:pt idx="8">
                  <c:v>0.96666666666666667</c:v>
                </c:pt>
                <c:pt idx="9">
                  <c:v>0.9</c:v>
                </c:pt>
                <c:pt idx="10">
                  <c:v>0.73333333333333339</c:v>
                </c:pt>
                <c:pt idx="11">
                  <c:v>0.8</c:v>
                </c:pt>
                <c:pt idx="12">
                  <c:v>0.93333333333333335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64-604C-B1CD-DC2EBEF3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092223"/>
        <c:axId val="29908135"/>
      </c:lineChart>
      <c:catAx>
        <c:axId val="709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9908135"/>
        <c:crosses val="autoZero"/>
        <c:auto val="1"/>
        <c:lblAlgn val="ctr"/>
        <c:lblOffset val="100"/>
        <c:noMultiLvlLbl val="0"/>
      </c:catAx>
      <c:valAx>
        <c:axId val="299081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Accuracy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09222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On-Time Delivery % by Vendor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'Vendor Dashboard'!$D$9</c:f>
              <c:strCache>
                <c:ptCount val="1"/>
                <c:pt idx="0">
                  <c:v>On-Time %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'Vendor Dashboard'!$B$10:$B$21</c:f>
              <c:strCache>
                <c:ptCount val="12"/>
                <c:pt idx="0">
                  <c:v>Meadowbrook Dairy Co-op</c:v>
                </c:pt>
                <c:pt idx="1">
                  <c:v>Cascade Creamery Supply</c:v>
                </c:pt>
                <c:pt idx="2">
                  <c:v>Heritage Farms Dairy</c:v>
                </c:pt>
                <c:pt idx="3">
                  <c:v>Bluegrass Milk Producers</c:v>
                </c:pt>
                <c:pt idx="4">
                  <c:v>Golden Valley Creamery</c:v>
                </c:pt>
                <c:pt idx="5">
                  <c:v>Crestline Packaging Supply</c:v>
                </c:pt>
                <c:pt idx="6">
                  <c:v>Northfield Dairy Ingredients</c:v>
                </c:pt>
                <c:pt idx="7">
                  <c:v>Ridgeway Cold Storage Logistics</c:v>
                </c:pt>
                <c:pt idx="8">
                  <c:v>Coastal Freight Distributors</c:v>
                </c:pt>
                <c:pt idx="9">
                  <c:v>Sunrise Dairy Cooperative</c:v>
                </c:pt>
                <c:pt idx="10">
                  <c:v>PrecisionPack Supply Co.</c:v>
                </c:pt>
                <c:pt idx="11">
                  <c:v>Budget Dairy Wholesale</c:v>
                </c:pt>
              </c:strCache>
            </c:strRef>
          </c:cat>
          <c:val>
            <c:numRef>
              <c:f>'Vendor Dashboard'!$D$10:$D$21</c:f>
              <c:numCache>
                <c:formatCode>0.0%</c:formatCode>
                <c:ptCount val="12"/>
                <c:pt idx="0">
                  <c:v>1</c:v>
                </c:pt>
                <c:pt idx="1">
                  <c:v>0.72222222222222221</c:v>
                </c:pt>
                <c:pt idx="2">
                  <c:v>0.95</c:v>
                </c:pt>
                <c:pt idx="3">
                  <c:v>0.86956521739130432</c:v>
                </c:pt>
                <c:pt idx="4">
                  <c:v>1</c:v>
                </c:pt>
                <c:pt idx="5">
                  <c:v>0.7142857142857143</c:v>
                </c:pt>
                <c:pt idx="6">
                  <c:v>0.9285714285714286</c:v>
                </c:pt>
                <c:pt idx="7">
                  <c:v>0.8666666666666667</c:v>
                </c:pt>
                <c:pt idx="8">
                  <c:v>0.6</c:v>
                </c:pt>
                <c:pt idx="9">
                  <c:v>1</c:v>
                </c:pt>
                <c:pt idx="10">
                  <c:v>0.95652173913043481</c:v>
                </c:pt>
                <c:pt idx="1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8-F548-AF51-863E19ED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24460"/>
        <c:axId val="15623797"/>
      </c:barChart>
      <c:catAx>
        <c:axId val="360244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623797"/>
        <c:crosses val="autoZero"/>
        <c:auto val="1"/>
        <c:lblAlgn val="ctr"/>
        <c:lblOffset val="100"/>
        <c:noMultiLvlLbl val="0"/>
      </c:catAx>
      <c:valAx>
        <c:axId val="156237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On-Time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0244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Weekly On-Time Delivery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'Vendor Dashboard'!$E$26</c:f>
              <c:strCache>
                <c:ptCount val="1"/>
                <c:pt idx="0">
                  <c:v>On-Time %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'Vendor Dashboard'!$B$27:$B$39</c:f>
              <c:strCache>
                <c:ptCount val="13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</c:strCache>
            </c:strRef>
          </c:cat>
          <c:val>
            <c:numRef>
              <c:f>'Vendor Dashboard'!$E$27:$E$39</c:f>
              <c:numCache>
                <c:formatCode>0.0%</c:formatCode>
                <c:ptCount val="13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0.9375</c:v>
                </c:pt>
                <c:pt idx="4">
                  <c:v>0.8666666666666667</c:v>
                </c:pt>
                <c:pt idx="5">
                  <c:v>0.75</c:v>
                </c:pt>
                <c:pt idx="6">
                  <c:v>0.93333333333333335</c:v>
                </c:pt>
                <c:pt idx="7">
                  <c:v>0.92307692307692313</c:v>
                </c:pt>
                <c:pt idx="8">
                  <c:v>0.88888888888888884</c:v>
                </c:pt>
                <c:pt idx="9">
                  <c:v>0.7857142857142857</c:v>
                </c:pt>
                <c:pt idx="10">
                  <c:v>0.9285714285714286</c:v>
                </c:pt>
                <c:pt idx="11">
                  <c:v>0.66666666666666663</c:v>
                </c:pt>
                <c:pt idx="12">
                  <c:v>0.89473684210526316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9CF-F949-B194-7E9363C0E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3572916"/>
        <c:axId val="90899447"/>
      </c:lineChart>
      <c:catAx>
        <c:axId val="535729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0899447"/>
        <c:crosses val="autoZero"/>
        <c:auto val="1"/>
        <c:lblAlgn val="ctr"/>
        <c:lblOffset val="100"/>
        <c:noMultiLvlLbl val="0"/>
      </c:catAx>
      <c:valAx>
        <c:axId val="9089944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On-Time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357291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Avg Units/Hour by Task Type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'Labor Dashboard'!$E$9</c:f>
              <c:strCache>
                <c:ptCount val="1"/>
                <c:pt idx="0">
                  <c:v>Avg Units/Hour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'Labor Dashboard'!$B$10:$B$13</c:f>
              <c:strCache>
                <c:ptCount val="4"/>
                <c:pt idx="0">
                  <c:v>Cycle Count</c:v>
                </c:pt>
                <c:pt idx="1">
                  <c:v>Packing</c:v>
                </c:pt>
                <c:pt idx="2">
                  <c:v>Picking</c:v>
                </c:pt>
                <c:pt idx="3">
                  <c:v>Receiving</c:v>
                </c:pt>
              </c:strCache>
            </c:strRef>
          </c:cat>
          <c:val>
            <c:numRef>
              <c:f>'Labor Dashboard'!$E$10:$E$13</c:f>
              <c:numCache>
                <c:formatCode>0.0</c:formatCode>
                <c:ptCount val="4"/>
                <c:pt idx="0">
                  <c:v>24.502188183807444</c:v>
                </c:pt>
                <c:pt idx="1">
                  <c:v>46.148657413412877</c:v>
                </c:pt>
                <c:pt idx="2">
                  <c:v>54.185566122993514</c:v>
                </c:pt>
                <c:pt idx="3">
                  <c:v>27.947767883822376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D-BB48-8FA6-329B20C40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71176"/>
        <c:axId val="61694669"/>
      </c:barChart>
      <c:catAx>
        <c:axId val="4687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1694669"/>
        <c:crosses val="autoZero"/>
        <c:auto val="1"/>
        <c:lblAlgn val="ctr"/>
        <c:lblOffset val="100"/>
        <c:noMultiLvlLbl val="0"/>
      </c:catAx>
      <c:valAx>
        <c:axId val="616946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Units/Hour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68711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Avg Units/Hour by Employee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'Labor Dashboard'!$F$16</c:f>
              <c:strCache>
                <c:ptCount val="1"/>
                <c:pt idx="0">
                  <c:v>Avg Units/Hour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'Labor Dashboard'!$B$17:$B$32</c:f>
              <c:strCache>
                <c:ptCount val="16"/>
                <c:pt idx="0">
                  <c:v>Jordan</c:v>
                </c:pt>
                <c:pt idx="1">
                  <c:v>Casey</c:v>
                </c:pt>
                <c:pt idx="2">
                  <c:v>Morgan</c:v>
                </c:pt>
                <c:pt idx="3">
                  <c:v>Taylor</c:v>
                </c:pt>
                <c:pt idx="4">
                  <c:v>Riley</c:v>
                </c:pt>
                <c:pt idx="5">
                  <c:v>Avery</c:v>
                </c:pt>
                <c:pt idx="6">
                  <c:v>Cameron</c:v>
                </c:pt>
                <c:pt idx="7">
                  <c:v>Dakota</c:v>
                </c:pt>
                <c:pt idx="8">
                  <c:v>Hayden</c:v>
                </c:pt>
                <c:pt idx="9">
                  <c:v>Reese</c:v>
                </c:pt>
                <c:pt idx="10">
                  <c:v>Skyler</c:v>
                </c:pt>
                <c:pt idx="11">
                  <c:v>Peyton</c:v>
                </c:pt>
                <c:pt idx="12">
                  <c:v>Rowan</c:v>
                </c:pt>
                <c:pt idx="13">
                  <c:v>Emerson</c:v>
                </c:pt>
                <c:pt idx="14">
                  <c:v>Finley</c:v>
                </c:pt>
                <c:pt idx="15">
                  <c:v>Sawyer</c:v>
                </c:pt>
              </c:strCache>
            </c:strRef>
          </c:cat>
          <c:val>
            <c:numRef>
              <c:f>'Labor Dashboard'!$F$17:$F$32</c:f>
              <c:numCache>
                <c:formatCode>0.0</c:formatCode>
                <c:ptCount val="16"/>
                <c:pt idx="0">
                  <c:v>48.733096085409251</c:v>
                </c:pt>
                <c:pt idx="1">
                  <c:v>58.416214942257852</c:v>
                </c:pt>
                <c:pt idx="2">
                  <c:v>56.602060843964679</c:v>
                </c:pt>
                <c:pt idx="3">
                  <c:v>54.587794432548193</c:v>
                </c:pt>
                <c:pt idx="4">
                  <c:v>39.990548204158799</c:v>
                </c:pt>
                <c:pt idx="5">
                  <c:v>49.770935960591153</c:v>
                </c:pt>
                <c:pt idx="6">
                  <c:v>49.941121055110706</c:v>
                </c:pt>
                <c:pt idx="7">
                  <c:v>40.910750970098157</c:v>
                </c:pt>
                <c:pt idx="8">
                  <c:v>40.268440145102787</c:v>
                </c:pt>
                <c:pt idx="9">
                  <c:v>27.147080561714709</c:v>
                </c:pt>
                <c:pt idx="10">
                  <c:v>25.214452214452216</c:v>
                </c:pt>
                <c:pt idx="11">
                  <c:v>23.626265119723527</c:v>
                </c:pt>
                <c:pt idx="12">
                  <c:v>26.118372379778044</c:v>
                </c:pt>
                <c:pt idx="13">
                  <c:v>31.999999999999996</c:v>
                </c:pt>
                <c:pt idx="14">
                  <c:v>41.297984644913626</c:v>
                </c:pt>
                <c:pt idx="15">
                  <c:v>38.892079444843262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F-214B-8DA0-399B804E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4215"/>
        <c:axId val="23316137"/>
      </c:barChart>
      <c:catAx>
        <c:axId val="17684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3316137"/>
        <c:crosses val="autoZero"/>
        <c:auto val="1"/>
        <c:lblAlgn val="ctr"/>
        <c:lblOffset val="100"/>
        <c:noMultiLvlLbl val="0"/>
      </c:catAx>
      <c:valAx>
        <c:axId val="2331613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Units/Hour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68421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Returns by Reason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'Order Fulfillment Dashboard'!$C$9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'Order Fulfillment Dashboard'!$B$10:$B$13</c:f>
              <c:strCache>
                <c:ptCount val="4"/>
                <c:pt idx="0">
                  <c:v>Changed Mind</c:v>
                </c:pt>
                <c:pt idx="1">
                  <c:v>Damaged in Transit</c:v>
                </c:pt>
                <c:pt idx="2">
                  <c:v>Defective</c:v>
                </c:pt>
                <c:pt idx="3">
                  <c:v>Wrong Item</c:v>
                </c:pt>
              </c:strCache>
            </c:strRef>
          </c:cat>
          <c:val>
            <c:numRef>
              <c:f>'Order Fulfillment Dashboard'!$C$10:$C$13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E-E342-A63F-D0A85D1E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58117"/>
        <c:axId val="36336633"/>
      </c:barChart>
      <c:catAx>
        <c:axId val="9165811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336633"/>
        <c:crosses val="autoZero"/>
        <c:auto val="1"/>
        <c:lblAlgn val="ctr"/>
        <c:lblOffset val="100"/>
        <c:noMultiLvlLbl val="0"/>
      </c:catAx>
      <c:valAx>
        <c:axId val="363366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165811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Weekly Late Shipment %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'Order Fulfillment Dashboard'!$E$18</c:f>
              <c:strCache>
                <c:ptCount val="1"/>
                <c:pt idx="0">
                  <c:v>Late %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'Order Fulfillment Dashboard'!$B$19:$B$31</c:f>
              <c:strCache>
                <c:ptCount val="13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</c:strCache>
            </c:strRef>
          </c:cat>
          <c:val>
            <c:numRef>
              <c:f>'Order Fulfillment Dashboard'!$E$19:$E$31</c:f>
              <c:numCache>
                <c:formatCode>0.0%</c:formatCode>
                <c:ptCount val="13"/>
                <c:pt idx="0">
                  <c:v>0.19565217391304349</c:v>
                </c:pt>
                <c:pt idx="1">
                  <c:v>0.23529411764705882</c:v>
                </c:pt>
                <c:pt idx="2">
                  <c:v>0.11627906976744186</c:v>
                </c:pt>
                <c:pt idx="3">
                  <c:v>0.19607843137254902</c:v>
                </c:pt>
                <c:pt idx="4">
                  <c:v>0.15909090909090909</c:v>
                </c:pt>
                <c:pt idx="5">
                  <c:v>0.19148936170212766</c:v>
                </c:pt>
                <c:pt idx="6">
                  <c:v>0.18604651162790697</c:v>
                </c:pt>
                <c:pt idx="7">
                  <c:v>9.6153846153846159E-2</c:v>
                </c:pt>
                <c:pt idx="8">
                  <c:v>0.18604651162790697</c:v>
                </c:pt>
                <c:pt idx="9">
                  <c:v>0.18604651162790697</c:v>
                </c:pt>
                <c:pt idx="10">
                  <c:v>0.1111111111111111</c:v>
                </c:pt>
                <c:pt idx="11">
                  <c:v>0.30952380952380953</c:v>
                </c:pt>
                <c:pt idx="12">
                  <c:v>0.21951219512195122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E8-5A45-8915-2CA2510AF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7553545"/>
        <c:axId val="98926594"/>
      </c:lineChart>
      <c:catAx>
        <c:axId val="175535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8926594"/>
        <c:crosses val="autoZero"/>
        <c:auto val="1"/>
        <c:lblAlgn val="ctr"/>
        <c:lblOffset val="100"/>
        <c:noMultiLvlLbl val="0"/>
      </c:catAx>
      <c:valAx>
        <c:axId val="9892659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Late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55354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41400</xdr:rowOff>
    </xdr:from>
    <xdr:to>
      <xdr:col>5</xdr:col>
      <xdr:colOff>1625600</xdr:colOff>
      <xdr:row>63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10800</xdr:rowOff>
    </xdr:from>
    <xdr:to>
      <xdr:col>12</xdr:col>
      <xdr:colOff>584200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25</xdr:row>
      <xdr:rowOff>139700</xdr:rowOff>
    </xdr:from>
    <xdr:to>
      <xdr:col>12</xdr:col>
      <xdr:colOff>647700</xdr:colOff>
      <xdr:row>42</xdr:row>
      <xdr:rowOff>156000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10800</xdr:rowOff>
    </xdr:from>
    <xdr:to>
      <xdr:col>18</xdr:col>
      <xdr:colOff>330200</xdr:colOff>
      <xdr:row>24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457200</xdr:colOff>
      <xdr:row>25</xdr:row>
      <xdr:rowOff>46780</xdr:rowOff>
    </xdr:from>
    <xdr:to>
      <xdr:col>18</xdr:col>
      <xdr:colOff>381000</xdr:colOff>
      <xdr:row>41</xdr:row>
      <xdr:rowOff>114300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10800</xdr:rowOff>
    </xdr:from>
    <xdr:to>
      <xdr:col>20</xdr:col>
      <xdr:colOff>190500</xdr:colOff>
      <xdr:row>23</xdr:row>
      <xdr:rowOff>139700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24</xdr:row>
      <xdr:rowOff>172080</xdr:rowOff>
    </xdr:from>
    <xdr:to>
      <xdr:col>20</xdr:col>
      <xdr:colOff>165100</xdr:colOff>
      <xdr:row>43</xdr:row>
      <xdr:rowOff>127000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41040</xdr:rowOff>
    </xdr:from>
    <xdr:to>
      <xdr:col>15</xdr:col>
      <xdr:colOff>147600</xdr:colOff>
      <xdr:row>19</xdr:row>
      <xdr:rowOff>35900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635000</xdr:colOff>
      <xdr:row>21</xdr:row>
      <xdr:rowOff>1240</xdr:rowOff>
    </xdr:from>
    <xdr:to>
      <xdr:col>16</xdr:col>
      <xdr:colOff>230920</xdr:colOff>
      <xdr:row>32</xdr:row>
      <xdr:rowOff>237400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bl_SKUTracker_9" displayName="tbl_SKUTracker_9" ref="B9:M39" totalsRowShown="0" headerRowDxfId="111" dataDxfId="110">
  <autoFilter ref="B9:M39" xr:uid="{00000000-0009-0000-0100-000008000000}"/>
  <tableColumns count="12">
    <tableColumn id="1" xr3:uid="{00000000-0010-0000-0000-000001000000}" name="SKU" dataDxfId="109"/>
    <tableColumn id="2" xr3:uid="{00000000-0010-0000-0000-000002000000}" name="Product Name" dataDxfId="108"/>
    <tableColumn id="3" xr3:uid="{00000000-0010-0000-0000-000003000000}" name="Category" dataDxfId="107"/>
    <tableColumn id="4" xr3:uid="{00000000-0010-0000-0000-000004000000}" name="On-Hand Qty" dataDxfId="106"/>
    <tableColumn id="5" xr3:uid="{00000000-0010-0000-0000-000005000000}" name="Reorder Point" dataDxfId="105"/>
    <tableColumn id="6" xr3:uid="{00000000-0010-0000-0000-000006000000}" name="Stock Status" dataDxfId="104"/>
    <tableColumn id="7" xr3:uid="{00000000-0010-0000-0000-000007000000}" name="Cycle Count Accuracy" dataDxfId="103"/>
    <tableColumn id="8" xr3:uid="{00000000-0010-0000-0000-000008000000}" name="Units Received" dataDxfId="102"/>
    <tableColumn id="9" xr3:uid="{00000000-0010-0000-0000-000009000000}" name="Vendor On-Time %" dataDxfId="101"/>
    <tableColumn id="10" xr3:uid="{00000000-0010-0000-0000-00000A000000}" name="Units Ordered" dataDxfId="100"/>
    <tableColumn id="11" xr3:uid="{00000000-0010-0000-0000-00000B000000}" name="Units Returned" dataDxfId="99"/>
    <tableColumn id="12" xr3:uid="{00000000-0010-0000-0000-00000C000000}" name="Return Rate" dataDxfId="9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bl_Products_3" displayName="tbl_Products_3" ref="A1:E31" totalsRowShown="0" headerRowDxfId="97" dataDxfId="96">
  <autoFilter ref="A1:E31" xr:uid="{00000000-0009-0000-0100-000005000000}"/>
  <tableColumns count="5">
    <tableColumn id="1" xr3:uid="{00000000-0010-0000-0100-000001000000}" name="SKU" dataDxfId="95"/>
    <tableColumn id="2" xr3:uid="{00000000-0010-0000-0100-000002000000}" name="Product Name" dataDxfId="94"/>
    <tableColumn id="3" xr3:uid="{00000000-0010-0000-0100-000003000000}" name="Category" dataDxfId="93"/>
    <tableColumn id="4" xr3:uid="{00000000-0010-0000-0100-000004000000}" name="Unit Cost" dataDxfId="92"/>
    <tableColumn id="5" xr3:uid="{00000000-0010-0000-0100-000005000000}" name="Reorder Point" dataDxfId="9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_CycleCounts_4" displayName="tbl_CycleCounts_4" ref="A1:I391" totalsRowShown="0" headerRowDxfId="90" dataDxfId="89">
  <autoFilter ref="A1:I391" xr:uid="{00000000-0009-0000-0100-000001000000}"/>
  <tableColumns count="9">
    <tableColumn id="1" xr3:uid="{00000000-0010-0000-0200-000001000000}" name="Count ID" dataDxfId="88"/>
    <tableColumn id="2" xr3:uid="{00000000-0010-0000-0200-000002000000}" name="SKU" dataDxfId="87"/>
    <tableColumn id="3" xr3:uid="{00000000-0010-0000-0200-000003000000}" name="Count Date" dataDxfId="86"/>
    <tableColumn id="4" xr3:uid="{00000000-0010-0000-0200-000004000000}" name="System Qty" dataDxfId="85"/>
    <tableColumn id="5" xr3:uid="{00000000-0010-0000-0200-000005000000}" name="Physical Qty" dataDxfId="84"/>
    <tableColumn id="6" xr3:uid="{00000000-0010-0000-0200-000006000000}" name="Discrepancy Qty" dataDxfId="83"/>
    <tableColumn id="7" xr3:uid="{00000000-0010-0000-0200-000007000000}" name="Discrepancy Reason" dataDxfId="82"/>
    <tableColumn id="8" xr3:uid="{00000000-0010-0000-0200-000008000000}" name="Counted By (Emp ID)" dataDxfId="81"/>
    <tableColumn id="9" xr3:uid="{00000000-0010-0000-0200-000009000000}" name="Category" dataDxfId="8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tbl_Vendors_5" displayName="tbl_Vendors_5" ref="A1:D13" totalsRowShown="0" headerRowDxfId="79" dataDxfId="78">
  <autoFilter ref="A1:D13" xr:uid="{00000000-0009-0000-0100-000009000000}"/>
  <tableColumns count="4">
    <tableColumn id="1" xr3:uid="{00000000-0010-0000-0300-000001000000}" name="Vendor ID" dataDxfId="77"/>
    <tableColumn id="2" xr3:uid="{00000000-0010-0000-0300-000002000000}" name="Vendor Name" dataDxfId="76"/>
    <tableColumn id="3" xr3:uid="{00000000-0010-0000-0300-000003000000}" name="Default Lead Time (days)" dataDxfId="75"/>
    <tableColumn id="4" xr3:uid="{00000000-0010-0000-0300-000004000000}" name="Contact Info" dataDxfId="7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bl_Receiving_6" displayName="tbl_Receiving_6" ref="A1:P196" totalsRowShown="0" headerRowDxfId="73" dataDxfId="72">
  <autoFilter ref="A1:P196" xr:uid="{00000000-0009-0000-0100-000006000000}"/>
  <tableColumns count="16">
    <tableColumn id="1" xr3:uid="{00000000-0010-0000-0400-000001000000}" name="Receiving ID" dataDxfId="71"/>
    <tableColumn id="2" xr3:uid="{00000000-0010-0000-0400-000002000000}" name="PO Number" dataDxfId="70"/>
    <tableColumn id="3" xr3:uid="{00000000-0010-0000-0400-000003000000}" name="Vendor ID" dataDxfId="69"/>
    <tableColumn id="4" xr3:uid="{00000000-0010-0000-0400-000004000000}" name="SKU" dataDxfId="68"/>
    <tableColumn id="5" xr3:uid="{00000000-0010-0000-0400-000005000000}" name="Expected Date" dataDxfId="67"/>
    <tableColumn id="6" xr3:uid="{00000000-0010-0000-0400-000006000000}" name="Actual Date" dataDxfId="66"/>
    <tableColumn id="7" xr3:uid="{00000000-0010-0000-0400-000007000000}" name="Expected Qty" dataDxfId="65"/>
    <tableColumn id="8" xr3:uid="{00000000-0010-0000-0400-000008000000}" name="Received Qty" dataDxfId="64"/>
    <tableColumn id="9" xr3:uid="{00000000-0010-0000-0400-000009000000}" name="Expected Weight" dataDxfId="63"/>
    <tableColumn id="10" xr3:uid="{00000000-0010-0000-0400-00000A000000}" name="Actual Weight" dataDxfId="62"/>
    <tableColumn id="11" xr3:uid="{00000000-0010-0000-0400-00000B000000}" name="BOL Number" dataDxfId="61"/>
    <tableColumn id="12" xr3:uid="{00000000-0010-0000-0400-00000C000000}" name="Vendor Name" dataDxfId="60"/>
    <tableColumn id="13" xr3:uid="{00000000-0010-0000-0400-00000D000000}" name="On Time?" dataDxfId="59"/>
    <tableColumn id="14" xr3:uid="{00000000-0010-0000-0400-00000E000000}" name="Qty Match?" dataDxfId="58"/>
    <tableColumn id="15" xr3:uid="{00000000-0010-0000-0400-00000F000000}" name="Weight Variance %" dataDxfId="57"/>
    <tableColumn id="16" xr3:uid="{00000000-0010-0000-0400-000010000000}" name="Week #" dataDxfId="5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bl_Employees_7" displayName="tbl_Employees_7" ref="A1:E17" totalsRowShown="0" headerRowDxfId="55" dataDxfId="54">
  <autoFilter ref="A1:E17" xr:uid="{00000000-0009-0000-0100-000002000000}"/>
  <tableColumns count="5">
    <tableColumn id="1" xr3:uid="{00000000-0010-0000-0500-000001000000}" name="Employee ID" dataDxfId="53"/>
    <tableColumn id="2" xr3:uid="{00000000-0010-0000-0500-000002000000}" name="First Name" dataDxfId="52"/>
    <tableColumn id="3" xr3:uid="{00000000-0010-0000-0500-000003000000}" name="Role" dataDxfId="51"/>
    <tableColumn id="4" xr3:uid="{00000000-0010-0000-0500-000004000000}" name="Hire Date" dataDxfId="50"/>
    <tableColumn id="5" xr3:uid="{00000000-0010-0000-0500-000005000000}" name="Hourly Wage" dataDxfId="4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bl_LaborLog_8" displayName="tbl_LaborLog_8" ref="A1:M888" totalsRowShown="0" headerRowDxfId="48" dataDxfId="47">
  <autoFilter ref="A1:M888" xr:uid="{00000000-0009-0000-0100-000003000000}"/>
  <tableColumns count="13">
    <tableColumn id="1" xr3:uid="{00000000-0010-0000-0600-000001000000}" name="Log ID" dataDxfId="46"/>
    <tableColumn id="2" xr3:uid="{00000000-0010-0000-0600-000002000000}" name="Employee ID" dataDxfId="45"/>
    <tableColumn id="3" xr3:uid="{00000000-0010-0000-0600-000003000000}" name="Work Date" dataDxfId="44"/>
    <tableColumn id="4" xr3:uid="{00000000-0010-0000-0600-000004000000}" name="Shift" dataDxfId="43"/>
    <tableColumn id="5" xr3:uid="{00000000-0010-0000-0600-000005000000}" name="Task Type" dataDxfId="42"/>
    <tableColumn id="6" xr3:uid="{00000000-0010-0000-0600-000006000000}" name="Units Processed" dataDxfId="41"/>
    <tableColumn id="7" xr3:uid="{00000000-0010-0000-0600-000007000000}" name="Hours Worked" dataDxfId="40"/>
    <tableColumn id="8" xr3:uid="{00000000-0010-0000-0600-000008000000}" name="Employee Name" dataDxfId="39"/>
    <tableColumn id="9" xr3:uid="{00000000-0010-0000-0600-000009000000}" name="Role" dataDxfId="38"/>
    <tableColumn id="10" xr3:uid="{00000000-0010-0000-0600-00000A000000}" name="Units/Hour" dataDxfId="37"/>
    <tableColumn id="11" xr3:uid="{00000000-0010-0000-0600-00000B000000}" name="Attainment %" dataDxfId="36"/>
    <tableColumn id="12" xr3:uid="{00000000-0010-0000-0600-00000C000000}" name="Week #" dataDxfId="35"/>
    <tableColumn id="13" xr3:uid="{00000000-0010-0000-0600-00000D000000}" name="Labor Cost" dataDxfId="3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bl_Orders_2" displayName="tbl_Orders_2" ref="A1:L598" totalsRowShown="0" headerRowDxfId="33" dataDxfId="32">
  <autoFilter ref="A1:L598" xr:uid="{00000000-0009-0000-0100-000004000000}"/>
  <tableColumns count="12">
    <tableColumn id="1" xr3:uid="{00000000-0010-0000-0700-000001000000}" name="Order ID" dataDxfId="31"/>
    <tableColumn id="2" xr3:uid="{00000000-0010-0000-0700-000002000000}" name="Customer" dataDxfId="30"/>
    <tableColumn id="3" xr3:uid="{00000000-0010-0000-0700-000003000000}" name="SKU" dataDxfId="29"/>
    <tableColumn id="4" xr3:uid="{00000000-0010-0000-0700-000004000000}" name="Qty Ordered" dataDxfId="28"/>
    <tableColumn id="5" xr3:uid="{00000000-0010-0000-0700-000005000000}" name="Order Date" dataDxfId="27"/>
    <tableColumn id="6" xr3:uid="{00000000-0010-0000-0700-000006000000}" name="Promised Ship Date" dataDxfId="26"/>
    <tableColumn id="7" xr3:uid="{00000000-0010-0000-0700-000007000000}" name="Actual Ship Date" dataDxfId="25"/>
    <tableColumn id="8" xr3:uid="{00000000-0010-0000-0700-000008000000}" name="Status" dataDxfId="24"/>
    <tableColumn id="9" xr3:uid="{00000000-0010-0000-0700-000009000000}" name="Satisfaction (1-5)" dataDxfId="23"/>
    <tableColumn id="10" xr3:uid="{00000000-0010-0000-0700-00000A000000}" name="Late?" dataDxfId="22"/>
    <tableColumn id="11" xr3:uid="{00000000-0010-0000-0700-00000B000000}" name="Week #" dataDxfId="21"/>
    <tableColumn id="12" xr3:uid="{00000000-0010-0000-0700-00000C000000}" name="Est. Ship Cost" dataDxfId="2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bl_Returns_1" displayName="tbl_Returns_1" ref="A1:F41" totalsRowShown="0" headerRowDxfId="19" dataDxfId="18">
  <autoFilter ref="A1:F41" xr:uid="{00000000-0009-0000-0100-000007000000}"/>
  <tableColumns count="6">
    <tableColumn id="1" xr3:uid="{00000000-0010-0000-0800-000001000000}" name="Return ID" dataDxfId="17"/>
    <tableColumn id="2" xr3:uid="{00000000-0010-0000-0800-000002000000}" name="Order ID" dataDxfId="16"/>
    <tableColumn id="3" xr3:uid="{00000000-0010-0000-0800-000003000000}" name="Return Date" dataDxfId="15"/>
    <tableColumn id="4" xr3:uid="{00000000-0010-0000-0800-000004000000}" name="Reason" dataDxfId="14"/>
    <tableColumn id="5" xr3:uid="{00000000-0010-0000-0800-000005000000}" name="Qty Returned" dataDxfId="13"/>
    <tableColumn id="6" xr3:uid="{00000000-0010-0000-0800-000006000000}" name="SKU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"/>
  <sheetViews>
    <sheetView showGridLines="0" zoomScaleNormal="100" workbookViewId="0">
      <selection activeCell="F22" sqref="F22"/>
    </sheetView>
  </sheetViews>
  <sheetFormatPr baseColWidth="10" defaultColWidth="8.6640625" defaultRowHeight="19" x14ac:dyDescent="0.25"/>
  <cols>
    <col min="1" max="1" width="3" style="15" customWidth="1"/>
    <col min="2" max="2" width="26" style="15" customWidth="1"/>
    <col min="3" max="3" width="18" style="15" customWidth="1"/>
    <col min="4" max="4" width="25.33203125" style="15" customWidth="1"/>
    <col min="5" max="5" width="18" style="15" customWidth="1"/>
    <col min="6" max="6" width="28.83203125" style="15" customWidth="1"/>
    <col min="7" max="9" width="8.6640625" style="15"/>
    <col min="10" max="10" width="27.83203125" style="15" customWidth="1"/>
    <col min="11" max="12" width="8.6640625" style="15"/>
  </cols>
  <sheetData>
    <row r="2" spans="2:10" x14ac:dyDescent="0.25">
      <c r="B2" s="10" t="s">
        <v>0</v>
      </c>
    </row>
    <row r="3" spans="2:10" x14ac:dyDescent="0.25">
      <c r="B3" s="11" t="s">
        <v>1</v>
      </c>
    </row>
    <row r="5" spans="2:10" x14ac:dyDescent="0.25">
      <c r="B5" s="32" t="s">
        <v>2</v>
      </c>
      <c r="D5" s="33" t="s">
        <v>3</v>
      </c>
      <c r="F5" s="34" t="s">
        <v>4</v>
      </c>
    </row>
    <row r="7" spans="2:10" x14ac:dyDescent="0.25">
      <c r="B7" s="10" t="s">
        <v>5</v>
      </c>
    </row>
    <row r="8" spans="2:10" x14ac:dyDescent="0.25">
      <c r="B8" s="14" t="s">
        <v>6</v>
      </c>
      <c r="F8" s="14" t="s">
        <v>7</v>
      </c>
      <c r="J8" s="14" t="s">
        <v>8</v>
      </c>
    </row>
    <row r="9" spans="2:10" x14ac:dyDescent="0.25">
      <c r="B9" s="23">
        <f>'Inventory Dashboard'!J6</f>
        <v>0.88717948717948714</v>
      </c>
      <c r="F9" s="23">
        <f>'Vendor Dashboard'!F6</f>
        <v>0.85641025641025637</v>
      </c>
      <c r="J9" s="23">
        <f>'Labor Dashboard'!R6</f>
        <v>0.98001035907077794</v>
      </c>
    </row>
    <row r="10" spans="2:10" x14ac:dyDescent="0.25">
      <c r="B10" s="11" t="str">
        <f>IF('Inventory Dashboard'!E33&gt;='Inventory Dashboard'!E32,"▲ Improving vs last week","▼ Declining vs last week")</f>
        <v>▲ Improving vs last week</v>
      </c>
      <c r="F10" s="11" t="str">
        <f>IF('Vendor Dashboard'!E39&gt;='Vendor Dashboard'!E38,"▲ Improving vs last week","▼ Declining vs last week")</f>
        <v>▲ Improving vs last week</v>
      </c>
      <c r="J10" s="11" t="str">
        <f>IF('Labor Dashboard'!D56&gt;='Labor Dashboard'!D55,"▲ Improving vs last week","▼ Declining vs last week")</f>
        <v>▼ Declining vs last week</v>
      </c>
    </row>
    <row r="11" spans="2:10" x14ac:dyDescent="0.25">
      <c r="B11" s="10" t="s">
        <v>9</v>
      </c>
    </row>
    <row r="12" spans="2:10" x14ac:dyDescent="0.25">
      <c r="B12" s="14" t="s">
        <v>10</v>
      </c>
      <c r="F12" s="14" t="s">
        <v>11</v>
      </c>
      <c r="J12" s="14" t="s">
        <v>12</v>
      </c>
    </row>
    <row r="13" spans="2:10" x14ac:dyDescent="0.25">
      <c r="B13" s="3">
        <f>COUNTA(Products!A2:A31)</f>
        <v>30</v>
      </c>
      <c r="F13" s="3">
        <f>COUNTA(Vendors!A2:A13)</f>
        <v>12</v>
      </c>
      <c r="J13" s="3">
        <f>COUNTA(Employees!A2:A17)</f>
        <v>16</v>
      </c>
    </row>
    <row r="14" spans="2:10" x14ac:dyDescent="0.25">
      <c r="B14" s="14" t="s">
        <v>13</v>
      </c>
      <c r="F14" s="14" t="s">
        <v>14</v>
      </c>
      <c r="J14" s="14" t="s">
        <v>15</v>
      </c>
    </row>
    <row r="15" spans="2:10" x14ac:dyDescent="0.25">
      <c r="B15" s="3">
        <f>COUNTA(CycleCounts!B2:B391)</f>
        <v>390</v>
      </c>
      <c r="F15" s="3">
        <f>COUNTA(Receiving!B2:B196)</f>
        <v>195</v>
      </c>
      <c r="J15" s="3">
        <f>COUNTA(LaborLog!B2:B888)</f>
        <v>887</v>
      </c>
    </row>
    <row r="16" spans="2:10" x14ac:dyDescent="0.25">
      <c r="B16" s="14" t="s">
        <v>16</v>
      </c>
      <c r="F16" s="14" t="s">
        <v>17</v>
      </c>
      <c r="J16" s="14" t="s">
        <v>18</v>
      </c>
    </row>
    <row r="17" spans="2:10" x14ac:dyDescent="0.25">
      <c r="B17" s="3">
        <f>COUNTA(Orders!A2:A598)</f>
        <v>597</v>
      </c>
      <c r="F17" s="3">
        <f>COUNTIFS(Orders!$H$2:$H$598,"Open")</f>
        <v>6</v>
      </c>
      <c r="J17" s="3">
        <f>COUNTA(Returns!A2:A41)</f>
        <v>40</v>
      </c>
    </row>
    <row r="19" spans="2:10" x14ac:dyDescent="0.25">
      <c r="B19" s="10" t="s">
        <v>19</v>
      </c>
    </row>
    <row r="20" spans="2:10" x14ac:dyDescent="0.25">
      <c r="B20" s="13" t="str">
        <f>"Highest inventory discrepancy category: " &amp; INDEX('Inventory Dashboard'!B10:B17,MATCH(MAX('Inventory Dashboard'!E10:E17),'Inventory Dashboard'!E10:E17,0)) &amp; " (" &amp; TEXT(MAX('Inventory Dashboard'!E10:E17),"0.0%") &amp; ")"</f>
        <v>Highest inventory discrepancy category: Packaging &amp; Supplies (16.7%)</v>
      </c>
    </row>
    <row r="21" spans="2:10" x14ac:dyDescent="0.25">
      <c r="B21" s="13" t="str">
        <f>"Vendor needing attention: " &amp; INDEX('Vendor Dashboard'!B10:B21,MATCH(MIN('Vendor Dashboard'!D10:D21),'Vendor Dashboard'!D10:D21,0)) &amp; " (" &amp; TEXT(MIN('Vendor Dashboard'!D10:D21),"0.0%") &amp; " on-time)"</f>
        <v>Vendor needing attention: Budget Dairy Wholesale (54.5% on-time)</v>
      </c>
    </row>
    <row r="22" spans="2:10" x14ac:dyDescent="0.25">
      <c r="B22" s="13" t="str">
        <f>"Task type furthest below target: " &amp; INDEX('Labor Dashboard'!B10:B13,MATCH(MIN('Labor Dashboard'!F10:F13),'Labor Dashboard'!F10:F13,0)) &amp; " (" &amp; TEXT(MIN('Labor Dashboard'!F10:F13),"0.0%") &amp; " of target)"</f>
        <v>Task type furthest below target: Receiving (93.1% of target)</v>
      </c>
    </row>
    <row r="23" spans="2:10" x14ac:dyDescent="0.25">
      <c r="B23" s="13" t="str">
        <f>"Most common return reason: " &amp; INDEX('Order Fulfillment Dashboard'!B10:B13,MATCH(MAX('Order Fulfillment Dashboard'!C10:C13),'Order Fulfillment Dashboard'!C10:C13,0)) &amp; " (" &amp; MAX('Order Fulfillment Dashboard'!C10:C13) &amp; " cases)"</f>
        <v>Most common return reason: Defective (12 cases)</v>
      </c>
    </row>
    <row r="24" spans="2:10" x14ac:dyDescent="0.25">
      <c r="B24" s="13" t="str">
        <f>"Damaged goods flagged in cycle counts: " &amp; COUNTIFS(CycleCounts!$G$2:$G$391,"Damage") &amp; " incidents"</f>
        <v>Damaged goods flagged in cycle counts: 4 incidents</v>
      </c>
    </row>
    <row r="26" spans="2:10" x14ac:dyDescent="0.25">
      <c r="B26" s="24"/>
    </row>
    <row r="28" spans="2:10" x14ac:dyDescent="0.25">
      <c r="B28" s="10" t="s">
        <v>20</v>
      </c>
    </row>
    <row r="29" spans="2:10" x14ac:dyDescent="0.25">
      <c r="B29" s="21" t="s">
        <v>21</v>
      </c>
      <c r="F29" s="21" t="s">
        <v>22</v>
      </c>
      <c r="J29" s="21" t="s">
        <v>23</v>
      </c>
    </row>
    <row r="31" spans="2:10" x14ac:dyDescent="0.25">
      <c r="B31" s="21" t="s">
        <v>24</v>
      </c>
      <c r="F31" s="21" t="s">
        <v>25</v>
      </c>
      <c r="J31" s="21" t="s">
        <v>26</v>
      </c>
    </row>
    <row r="33" spans="2:2" x14ac:dyDescent="0.25">
      <c r="B33" s="21" t="s">
        <v>27</v>
      </c>
    </row>
  </sheetData>
  <conditionalFormatting sqref="B9">
    <cfRule type="cellIs" dxfId="11" priority="2" operator="greaterThanOrEqual">
      <formula>0.95</formula>
    </cfRule>
    <cfRule type="cellIs" dxfId="10" priority="3" operator="greaterThanOrEqual">
      <formula>0.9</formula>
    </cfRule>
    <cfRule type="cellIs" dxfId="9" priority="4" operator="lessThan">
      <formula>0.9</formula>
    </cfRule>
    <cfRule type="dataBar" priority="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{B2FC3D59-67D4-4C21-85C1-E97666B1F8CB}</x14:id>
        </ext>
      </extLst>
    </cfRule>
  </conditionalFormatting>
  <conditionalFormatting sqref="F9">
    <cfRule type="cellIs" dxfId="8" priority="6" operator="greaterThanOrEqual">
      <formula>0.9</formula>
    </cfRule>
    <cfRule type="cellIs" dxfId="7" priority="7" operator="greaterThanOrEqual">
      <formula>0.8</formula>
    </cfRule>
    <cfRule type="cellIs" dxfId="6" priority="8" operator="lessThan">
      <formula>0.8</formula>
    </cfRule>
    <cfRule type="dataBar" priority="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{EB55F1E2-8CE2-4DBF-AC7C-6FE8EC5981D9}</x14:id>
        </ext>
      </extLst>
    </cfRule>
  </conditionalFormatting>
  <conditionalFormatting sqref="J9">
    <cfRule type="cellIs" dxfId="5" priority="10" operator="greaterThanOrEqual">
      <formula>0.95</formula>
    </cfRule>
    <cfRule type="cellIs" dxfId="4" priority="11" operator="greaterThanOrEqual">
      <formula>0.85</formula>
    </cfRule>
    <cfRule type="cellIs" dxfId="3" priority="12" operator="lessThan">
      <formula>0.85</formula>
    </cfRule>
    <cfRule type="dataBar" priority="1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{47C26E6C-C4C1-4748-9B5D-8E95D0389010}</x14:id>
        </ext>
      </extLst>
    </cfRule>
  </conditionalFormatting>
  <hyperlinks>
    <hyperlink ref="B29" location="'SKU Tracker'!A1" display="→ SKU Tracker" xr:uid="{00000000-0004-0000-0000-000000000000}"/>
    <hyperlink ref="F29" location="'Inventory Dashboard'!A1" display="→ Inventory Dashboard" xr:uid="{00000000-0004-0000-0000-000001000000}"/>
    <hyperlink ref="J29" location="'Vendor Dashboard'!A1" display="→ Vendor Dashboard" xr:uid="{00000000-0004-0000-0000-000002000000}"/>
    <hyperlink ref="B31" location="'Labor Dashboard'!A1" display="→ Labor Dashboard" xr:uid="{00000000-0004-0000-0000-000003000000}"/>
    <hyperlink ref="F31" location="'Order Fulfillment Dashboard'!A1" display="→ Order Fulfillment Dashboard" xr:uid="{00000000-0004-0000-0000-000004000000}"/>
    <hyperlink ref="J31" location="'Capacity &amp; Cost Dashboard'!A1" display="→ Capacity &amp; Cost Dashboard" xr:uid="{00000000-0004-0000-0000-000005000000}"/>
    <hyperlink ref="B33" location="'README'!A1" display="→ README" xr:uid="{00000000-0004-0000-0000-000006000000}"/>
  </hyperlink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FC3D59-67D4-4C21-85C1-E97666B1F8CB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638EC6"/>
            </x14:dataBar>
          </x14:cfRule>
          <xm:sqref>B9</xm:sqref>
        </x14:conditionalFormatting>
        <x14:conditionalFormatting xmlns:xm="http://schemas.microsoft.com/office/excel/2006/main">
          <x14:cfRule type="dataBar" id="{EB55F1E2-8CE2-4DBF-AC7C-6FE8EC5981D9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638EC6"/>
            </x14:dataBar>
          </x14:cfRule>
          <xm:sqref>F9</xm:sqref>
        </x14:conditionalFormatting>
        <x14:conditionalFormatting xmlns:xm="http://schemas.microsoft.com/office/excel/2006/main">
          <x14:cfRule type="dataBar" id="{47C26E6C-C4C1-4748-9B5D-8E95D038901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638EC6"/>
            </x14:dataBar>
          </x14:cfRule>
          <xm:sqref>J9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9"/>
  <sheetViews>
    <sheetView zoomScaleNormal="100" workbookViewId="0">
      <pane ySplit="1" topLeftCell="A2" activePane="bottomLeft" state="frozen"/>
      <selection pane="bottomLeft" activeCell="Q13" sqref="Q13"/>
    </sheetView>
  </sheetViews>
  <sheetFormatPr baseColWidth="10" defaultColWidth="8.6640625" defaultRowHeight="19" x14ac:dyDescent="0.25"/>
  <cols>
    <col min="1" max="1" width="25.1640625" style="15" customWidth="1"/>
    <col min="2" max="2" width="30.33203125" style="15" customWidth="1"/>
    <col min="3" max="3" width="29" style="15" customWidth="1"/>
    <col min="4" max="4" width="25" style="15" customWidth="1"/>
    <col min="5" max="5" width="33" style="15" customWidth="1"/>
    <col min="6" max="11" width="8.6640625" style="15"/>
  </cols>
  <sheetData>
    <row r="1" spans="1:5" x14ac:dyDescent="0.25">
      <c r="A1" s="16" t="s">
        <v>738</v>
      </c>
      <c r="B1" s="16" t="s">
        <v>739</v>
      </c>
      <c r="C1" s="16" t="s">
        <v>740</v>
      </c>
      <c r="D1" s="16" t="s">
        <v>741</v>
      </c>
      <c r="E1" s="16" t="s">
        <v>742</v>
      </c>
    </row>
    <row r="2" spans="1:5" x14ac:dyDescent="0.25">
      <c r="A2" s="17">
        <v>17</v>
      </c>
      <c r="B2" s="17" t="s">
        <v>743</v>
      </c>
      <c r="C2" s="17" t="s">
        <v>744</v>
      </c>
      <c r="D2" s="17" t="s">
        <v>745</v>
      </c>
      <c r="E2" s="20">
        <v>17</v>
      </c>
    </row>
    <row r="3" spans="1:5" x14ac:dyDescent="0.25">
      <c r="A3" s="17">
        <v>18</v>
      </c>
      <c r="B3" s="17" t="s">
        <v>746</v>
      </c>
      <c r="C3" s="17" t="s">
        <v>744</v>
      </c>
      <c r="D3" s="17" t="s">
        <v>747</v>
      </c>
      <c r="E3" s="20">
        <v>17</v>
      </c>
    </row>
    <row r="4" spans="1:5" x14ac:dyDescent="0.25">
      <c r="A4" s="17">
        <v>19</v>
      </c>
      <c r="B4" s="17" t="s">
        <v>748</v>
      </c>
      <c r="C4" s="17" t="s">
        <v>744</v>
      </c>
      <c r="D4" s="17" t="s">
        <v>749</v>
      </c>
      <c r="E4" s="20">
        <v>17</v>
      </c>
    </row>
    <row r="5" spans="1:5" x14ac:dyDescent="0.25">
      <c r="A5" s="17">
        <v>20</v>
      </c>
      <c r="B5" s="17" t="s">
        <v>750</v>
      </c>
      <c r="C5" s="17" t="s">
        <v>744</v>
      </c>
      <c r="D5" s="17" t="s">
        <v>751</v>
      </c>
      <c r="E5" s="20">
        <v>17</v>
      </c>
    </row>
    <row r="6" spans="1:5" x14ac:dyDescent="0.25">
      <c r="A6" s="17">
        <v>21</v>
      </c>
      <c r="B6" s="17" t="s">
        <v>752</v>
      </c>
      <c r="C6" s="17" t="s">
        <v>753</v>
      </c>
      <c r="D6" s="17" t="s">
        <v>754</v>
      </c>
      <c r="E6" s="20">
        <v>17</v>
      </c>
    </row>
    <row r="7" spans="1:5" x14ac:dyDescent="0.25">
      <c r="A7" s="17">
        <v>22</v>
      </c>
      <c r="B7" s="17" t="s">
        <v>755</v>
      </c>
      <c r="C7" s="17" t="s">
        <v>753</v>
      </c>
      <c r="D7" s="17" t="s">
        <v>756</v>
      </c>
      <c r="E7" s="20">
        <v>17</v>
      </c>
    </row>
    <row r="8" spans="1:5" x14ac:dyDescent="0.25">
      <c r="A8" s="17">
        <v>23</v>
      </c>
      <c r="B8" s="17" t="s">
        <v>757</v>
      </c>
      <c r="C8" s="17" t="s">
        <v>753</v>
      </c>
      <c r="D8" s="17" t="s">
        <v>758</v>
      </c>
      <c r="E8" s="20">
        <v>17</v>
      </c>
    </row>
    <row r="9" spans="1:5" x14ac:dyDescent="0.25">
      <c r="A9" s="17">
        <v>24</v>
      </c>
      <c r="B9" s="17" t="s">
        <v>759</v>
      </c>
      <c r="C9" s="17" t="s">
        <v>760</v>
      </c>
      <c r="D9" s="17" t="s">
        <v>761</v>
      </c>
      <c r="E9" s="20">
        <v>19.5</v>
      </c>
    </row>
    <row r="10" spans="1:5" x14ac:dyDescent="0.25">
      <c r="A10" s="17">
        <v>25</v>
      </c>
      <c r="B10" s="17" t="s">
        <v>762</v>
      </c>
      <c r="C10" s="17" t="s">
        <v>760</v>
      </c>
      <c r="D10" s="17" t="s">
        <v>763</v>
      </c>
      <c r="E10" s="20">
        <v>19.5</v>
      </c>
    </row>
    <row r="11" spans="1:5" x14ac:dyDescent="0.25">
      <c r="A11" s="17">
        <v>26</v>
      </c>
      <c r="B11" s="17" t="s">
        <v>764</v>
      </c>
      <c r="C11" s="17" t="s">
        <v>765</v>
      </c>
      <c r="D11" s="17" t="s">
        <v>766</v>
      </c>
      <c r="E11" s="20">
        <v>18</v>
      </c>
    </row>
    <row r="12" spans="1:5" x14ac:dyDescent="0.25">
      <c r="A12" s="17">
        <v>27</v>
      </c>
      <c r="B12" s="17" t="s">
        <v>767</v>
      </c>
      <c r="C12" s="17" t="s">
        <v>765</v>
      </c>
      <c r="D12" s="17" t="s">
        <v>768</v>
      </c>
      <c r="E12" s="20">
        <v>18</v>
      </c>
    </row>
    <row r="13" spans="1:5" x14ac:dyDescent="0.25">
      <c r="A13" s="17">
        <v>28</v>
      </c>
      <c r="B13" s="17" t="s">
        <v>769</v>
      </c>
      <c r="C13" s="17" t="s">
        <v>770</v>
      </c>
      <c r="D13" s="17" t="s">
        <v>771</v>
      </c>
      <c r="E13" s="20">
        <v>18</v>
      </c>
    </row>
    <row r="14" spans="1:5" x14ac:dyDescent="0.25">
      <c r="A14" s="17">
        <v>29</v>
      </c>
      <c r="B14" s="17" t="s">
        <v>772</v>
      </c>
      <c r="C14" s="17" t="s">
        <v>770</v>
      </c>
      <c r="D14" s="17" t="s">
        <v>773</v>
      </c>
      <c r="E14" s="20">
        <v>18</v>
      </c>
    </row>
    <row r="15" spans="1:5" x14ac:dyDescent="0.25">
      <c r="A15" s="17">
        <v>30</v>
      </c>
      <c r="B15" s="17" t="s">
        <v>774</v>
      </c>
      <c r="C15" s="17" t="s">
        <v>775</v>
      </c>
      <c r="D15" s="17" t="s">
        <v>776</v>
      </c>
      <c r="E15" s="20">
        <v>24</v>
      </c>
    </row>
    <row r="16" spans="1:5" x14ac:dyDescent="0.25">
      <c r="A16" s="17">
        <v>31</v>
      </c>
      <c r="B16" s="17" t="s">
        <v>777</v>
      </c>
      <c r="C16" s="17" t="s">
        <v>775</v>
      </c>
      <c r="D16" s="17" t="s">
        <v>778</v>
      </c>
      <c r="E16" s="20">
        <v>24</v>
      </c>
    </row>
    <row r="17" spans="1:5" x14ac:dyDescent="0.25">
      <c r="A17" s="17">
        <v>32</v>
      </c>
      <c r="B17" s="17" t="s">
        <v>779</v>
      </c>
      <c r="C17" s="17" t="s">
        <v>775</v>
      </c>
      <c r="D17" s="17" t="s">
        <v>780</v>
      </c>
      <c r="E17" s="20">
        <v>24</v>
      </c>
    </row>
    <row r="19" spans="1:5" x14ac:dyDescent="0.25">
      <c r="A19" s="24"/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88"/>
  <sheetViews>
    <sheetView topLeftCell="F1" zoomScaleNormal="100" workbookViewId="0">
      <pane ySplit="1" topLeftCell="A4" activePane="bottomLeft" state="frozen"/>
      <selection pane="bottomLeft" activeCell="F4" sqref="F4"/>
    </sheetView>
  </sheetViews>
  <sheetFormatPr baseColWidth="10" defaultColWidth="8.6640625" defaultRowHeight="19" x14ac:dyDescent="0.25"/>
  <cols>
    <col min="1" max="13" width="27.1640625" style="15" customWidth="1"/>
  </cols>
  <sheetData>
    <row r="1" spans="1:13" ht="18" x14ac:dyDescent="0.2">
      <c r="A1" s="16" t="s">
        <v>781</v>
      </c>
      <c r="B1" s="16" t="s">
        <v>738</v>
      </c>
      <c r="C1" s="16" t="s">
        <v>782</v>
      </c>
      <c r="D1" s="16" t="s">
        <v>783</v>
      </c>
      <c r="E1" s="16" t="s">
        <v>784</v>
      </c>
      <c r="F1" s="16" t="s">
        <v>785</v>
      </c>
      <c r="G1" s="16" t="s">
        <v>786</v>
      </c>
      <c r="H1" s="16" t="s">
        <v>787</v>
      </c>
      <c r="I1" s="16" t="s">
        <v>740</v>
      </c>
      <c r="J1" s="16" t="s">
        <v>788</v>
      </c>
      <c r="K1" s="16" t="s">
        <v>789</v>
      </c>
      <c r="L1" s="16" t="s">
        <v>228</v>
      </c>
      <c r="M1" s="16" t="s">
        <v>790</v>
      </c>
    </row>
    <row r="2" spans="1:13" ht="18" x14ac:dyDescent="0.2">
      <c r="A2" s="17">
        <v>888</v>
      </c>
      <c r="B2" s="17">
        <v>17</v>
      </c>
      <c r="C2" s="17" t="s">
        <v>171</v>
      </c>
      <c r="D2" s="17" t="s">
        <v>791</v>
      </c>
      <c r="E2" s="17" t="s">
        <v>792</v>
      </c>
      <c r="F2" s="17">
        <v>431</v>
      </c>
      <c r="G2" s="17">
        <v>8.5</v>
      </c>
      <c r="H2" s="17" t="str">
        <f>INDEX(Employees!$B$2:$B$17,MATCH(B2,Employees!$A$2:$A$17,0))</f>
        <v>Jordan</v>
      </c>
      <c r="I2" s="17" t="str">
        <f>INDEX(Employees!$C$2:$C$17,MATCH(B2,Employees!$A$2:$A$17,0))</f>
        <v>Picker</v>
      </c>
      <c r="J2" s="25">
        <f t="shared" ref="J2:J65" si="0">IF(G2=0,0,F2/G2)</f>
        <v>50.705882352941174</v>
      </c>
      <c r="K2" s="19">
        <f>IF(J2=0,0,J2/INDEX('Labor Dashboard'!$C$36:$C$39,MATCH(E2,'Labor Dashboard'!$B$36:$B$39,0)))</f>
        <v>0.92192513368983953</v>
      </c>
      <c r="L2" s="18">
        <f t="shared" ref="L2:L65" si="1">INT((DATEVALUE(C2)-DATE(2026,4,6))/7)</f>
        <v>0</v>
      </c>
      <c r="M2" s="20">
        <f>G2*INDEX(Employees!$E$2:$E$17,MATCH(B2,Employees!$A$2:$A$17,0))</f>
        <v>144.5</v>
      </c>
    </row>
    <row r="3" spans="1:13" ht="18" x14ac:dyDescent="0.2">
      <c r="A3" s="17">
        <v>889</v>
      </c>
      <c r="B3" s="17">
        <v>19</v>
      </c>
      <c r="C3" s="17" t="s">
        <v>171</v>
      </c>
      <c r="D3" s="17" t="s">
        <v>791</v>
      </c>
      <c r="E3" s="17" t="s">
        <v>792</v>
      </c>
      <c r="F3" s="17">
        <v>455</v>
      </c>
      <c r="G3" s="17">
        <v>7.6</v>
      </c>
      <c r="H3" s="17" t="str">
        <f>INDEX(Employees!$B$2:$B$17,MATCH(B3,Employees!$A$2:$A$17,0))</f>
        <v>Morgan</v>
      </c>
      <c r="I3" s="17" t="str">
        <f>INDEX(Employees!$C$2:$C$17,MATCH(B3,Employees!$A$2:$A$17,0))</f>
        <v>Picker</v>
      </c>
      <c r="J3" s="25">
        <f t="shared" si="0"/>
        <v>59.868421052631582</v>
      </c>
      <c r="K3" s="19">
        <f>IF(J3=0,0,J3/INDEX('Labor Dashboard'!$C$36:$C$39,MATCH(E3,'Labor Dashboard'!$B$36:$B$39,0)))</f>
        <v>1.0885167464114833</v>
      </c>
      <c r="L3" s="18">
        <f t="shared" si="1"/>
        <v>0</v>
      </c>
      <c r="M3" s="20">
        <f>G3*INDEX(Employees!$E$2:$E$17,MATCH(B3,Employees!$A$2:$A$17,0))</f>
        <v>129.19999999999999</v>
      </c>
    </row>
    <row r="4" spans="1:13" ht="18" x14ac:dyDescent="0.2">
      <c r="A4" s="17">
        <v>890</v>
      </c>
      <c r="B4" s="17">
        <v>20</v>
      </c>
      <c r="C4" s="17" t="s">
        <v>171</v>
      </c>
      <c r="D4" s="17" t="s">
        <v>793</v>
      </c>
      <c r="E4" s="17" t="s">
        <v>792</v>
      </c>
      <c r="F4" s="17">
        <v>395</v>
      </c>
      <c r="G4" s="17">
        <v>6.8</v>
      </c>
      <c r="H4" s="17" t="str">
        <f>INDEX(Employees!$B$2:$B$17,MATCH(B4,Employees!$A$2:$A$17,0))</f>
        <v>Taylor</v>
      </c>
      <c r="I4" s="17" t="str">
        <f>INDEX(Employees!$C$2:$C$17,MATCH(B4,Employees!$A$2:$A$17,0))</f>
        <v>Picker</v>
      </c>
      <c r="J4" s="25">
        <f t="shared" si="0"/>
        <v>58.088235294117652</v>
      </c>
      <c r="K4" s="19">
        <f>IF(J4=0,0,J4/INDEX('Labor Dashboard'!$C$36:$C$39,MATCH(E4,'Labor Dashboard'!$B$36:$B$39,0)))</f>
        <v>1.0561497326203209</v>
      </c>
      <c r="L4" s="18">
        <f t="shared" si="1"/>
        <v>0</v>
      </c>
      <c r="M4" s="20">
        <f>G4*INDEX(Employees!$E$2:$E$17,MATCH(B4,Employees!$A$2:$A$17,0))</f>
        <v>115.6</v>
      </c>
    </row>
    <row r="5" spans="1:13" ht="18" x14ac:dyDescent="0.2">
      <c r="A5" s="17">
        <v>891</v>
      </c>
      <c r="B5" s="17">
        <v>21</v>
      </c>
      <c r="C5" s="17" t="s">
        <v>171</v>
      </c>
      <c r="D5" s="17" t="s">
        <v>791</v>
      </c>
      <c r="E5" s="17" t="s">
        <v>794</v>
      </c>
      <c r="F5" s="17">
        <v>287</v>
      </c>
      <c r="G5" s="17">
        <v>6.8</v>
      </c>
      <c r="H5" s="17" t="str">
        <f>INDEX(Employees!$B$2:$B$17,MATCH(B5,Employees!$A$2:$A$17,0))</f>
        <v>Riley</v>
      </c>
      <c r="I5" s="17" t="str">
        <f>INDEX(Employees!$C$2:$C$17,MATCH(B5,Employees!$A$2:$A$17,0))</f>
        <v>Packer</v>
      </c>
      <c r="J5" s="25">
        <f t="shared" si="0"/>
        <v>42.205882352941181</v>
      </c>
      <c r="K5" s="19">
        <f>IF(J5=0,0,J5/INDEX('Labor Dashboard'!$C$36:$C$39,MATCH(E5,'Labor Dashboard'!$B$36:$B$39,0)))</f>
        <v>0.93790849673202625</v>
      </c>
      <c r="L5" s="18">
        <f t="shared" si="1"/>
        <v>0</v>
      </c>
      <c r="M5" s="20">
        <f>G5*INDEX(Employees!$E$2:$E$17,MATCH(B5,Employees!$A$2:$A$17,0))</f>
        <v>115.6</v>
      </c>
    </row>
    <row r="6" spans="1:13" ht="18" x14ac:dyDescent="0.2">
      <c r="A6" s="17">
        <v>892</v>
      </c>
      <c r="B6" s="17">
        <v>22</v>
      </c>
      <c r="C6" s="17" t="s">
        <v>171</v>
      </c>
      <c r="D6" s="17" t="s">
        <v>791</v>
      </c>
      <c r="E6" s="17" t="s">
        <v>794</v>
      </c>
      <c r="F6" s="17">
        <v>386</v>
      </c>
      <c r="G6" s="17">
        <v>7.8</v>
      </c>
      <c r="H6" s="17" t="str">
        <f>INDEX(Employees!$B$2:$B$17,MATCH(B6,Employees!$A$2:$A$17,0))</f>
        <v>Avery</v>
      </c>
      <c r="I6" s="17" t="str">
        <f>INDEX(Employees!$C$2:$C$17,MATCH(B6,Employees!$A$2:$A$17,0))</f>
        <v>Packer</v>
      </c>
      <c r="J6" s="25">
        <f t="shared" si="0"/>
        <v>49.487179487179489</v>
      </c>
      <c r="K6" s="19">
        <f>IF(J6=0,0,J6/INDEX('Labor Dashboard'!$C$36:$C$39,MATCH(E6,'Labor Dashboard'!$B$36:$B$39,0)))</f>
        <v>1.0997150997150997</v>
      </c>
      <c r="L6" s="18">
        <f t="shared" si="1"/>
        <v>0</v>
      </c>
      <c r="M6" s="20">
        <f>G6*INDEX(Employees!$E$2:$E$17,MATCH(B6,Employees!$A$2:$A$17,0))</f>
        <v>132.6</v>
      </c>
    </row>
    <row r="7" spans="1:13" ht="18" x14ac:dyDescent="0.2">
      <c r="A7" s="17">
        <v>893</v>
      </c>
      <c r="B7" s="17">
        <v>23</v>
      </c>
      <c r="C7" s="17" t="s">
        <v>171</v>
      </c>
      <c r="D7" s="17" t="s">
        <v>791</v>
      </c>
      <c r="E7" s="17" t="s">
        <v>794</v>
      </c>
      <c r="F7" s="17">
        <v>377</v>
      </c>
      <c r="G7" s="17">
        <v>6.9</v>
      </c>
      <c r="H7" s="17" t="str">
        <f>INDEX(Employees!$B$2:$B$17,MATCH(B7,Employees!$A$2:$A$17,0))</f>
        <v>Cameron</v>
      </c>
      <c r="I7" s="17" t="str">
        <f>INDEX(Employees!$C$2:$C$17,MATCH(B7,Employees!$A$2:$A$17,0))</f>
        <v>Packer</v>
      </c>
      <c r="J7" s="25">
        <f t="shared" si="0"/>
        <v>54.637681159420289</v>
      </c>
      <c r="K7" s="19">
        <f>IF(J7=0,0,J7/INDEX('Labor Dashboard'!$C$36:$C$39,MATCH(E7,'Labor Dashboard'!$B$36:$B$39,0)))</f>
        <v>1.2141706924315621</v>
      </c>
      <c r="L7" s="18">
        <f t="shared" si="1"/>
        <v>0</v>
      </c>
      <c r="M7" s="20">
        <f>G7*INDEX(Employees!$E$2:$E$17,MATCH(B7,Employees!$A$2:$A$17,0))</f>
        <v>117.30000000000001</v>
      </c>
    </row>
    <row r="8" spans="1:13" ht="18" x14ac:dyDescent="0.2">
      <c r="A8" s="17">
        <v>894</v>
      </c>
      <c r="B8" s="17">
        <v>25</v>
      </c>
      <c r="C8" s="17" t="s">
        <v>171</v>
      </c>
      <c r="D8" s="17" t="s">
        <v>791</v>
      </c>
      <c r="E8" s="17" t="s">
        <v>795</v>
      </c>
      <c r="F8" s="17">
        <v>231</v>
      </c>
      <c r="G8" s="17">
        <v>7.6</v>
      </c>
      <c r="H8" s="17" t="str">
        <f>INDEX(Employees!$B$2:$B$17,MATCH(B8,Employees!$A$2:$A$17,0))</f>
        <v>Hayden</v>
      </c>
      <c r="I8" s="17" t="str">
        <f>INDEX(Employees!$C$2:$C$17,MATCH(B8,Employees!$A$2:$A$17,0))</f>
        <v>Forklift Operator</v>
      </c>
      <c r="J8" s="25">
        <f t="shared" si="0"/>
        <v>30.394736842105264</v>
      </c>
      <c r="K8" s="19">
        <f>IF(J8=0,0,J8/INDEX('Labor Dashboard'!$C$36:$C$39,MATCH(E8,'Labor Dashboard'!$B$36:$B$39,0)))</f>
        <v>1.013157894736842</v>
      </c>
      <c r="L8" s="18">
        <f t="shared" si="1"/>
        <v>0</v>
      </c>
      <c r="M8" s="20">
        <f>G8*INDEX(Employees!$E$2:$E$17,MATCH(B8,Employees!$A$2:$A$17,0))</f>
        <v>148.19999999999999</v>
      </c>
    </row>
    <row r="9" spans="1:13" ht="18" x14ac:dyDescent="0.2">
      <c r="A9" s="17">
        <v>895</v>
      </c>
      <c r="B9" s="17">
        <v>26</v>
      </c>
      <c r="C9" s="17" t="s">
        <v>171</v>
      </c>
      <c r="D9" s="17" t="s">
        <v>793</v>
      </c>
      <c r="E9" s="17" t="s">
        <v>795</v>
      </c>
      <c r="F9" s="17">
        <v>221</v>
      </c>
      <c r="G9" s="17">
        <v>8.3000000000000007</v>
      </c>
      <c r="H9" s="17" t="str">
        <f>INDEX(Employees!$B$2:$B$17,MATCH(B9,Employees!$A$2:$A$17,0))</f>
        <v>Reese</v>
      </c>
      <c r="I9" s="17" t="str">
        <f>INDEX(Employees!$C$2:$C$17,MATCH(B9,Employees!$A$2:$A$17,0))</f>
        <v>Receiving Clerk</v>
      </c>
      <c r="J9" s="25">
        <f t="shared" si="0"/>
        <v>26.626506024096383</v>
      </c>
      <c r="K9" s="19">
        <f>IF(J9=0,0,J9/INDEX('Labor Dashboard'!$C$36:$C$39,MATCH(E9,'Labor Dashboard'!$B$36:$B$39,0)))</f>
        <v>0.88755020080321279</v>
      </c>
      <c r="L9" s="18">
        <f t="shared" si="1"/>
        <v>0</v>
      </c>
      <c r="M9" s="20">
        <f>G9*INDEX(Employees!$E$2:$E$17,MATCH(B9,Employees!$A$2:$A$17,0))</f>
        <v>149.4</v>
      </c>
    </row>
    <row r="10" spans="1:13" ht="18" x14ac:dyDescent="0.2">
      <c r="A10" s="17">
        <v>896</v>
      </c>
      <c r="B10" s="17">
        <v>27</v>
      </c>
      <c r="C10" s="17" t="s">
        <v>171</v>
      </c>
      <c r="D10" s="17" t="s">
        <v>793</v>
      </c>
      <c r="E10" s="17" t="s">
        <v>795</v>
      </c>
      <c r="F10" s="17">
        <v>174</v>
      </c>
      <c r="G10" s="17">
        <v>7.1</v>
      </c>
      <c r="H10" s="17" t="str">
        <f>INDEX(Employees!$B$2:$B$17,MATCH(B10,Employees!$A$2:$A$17,0))</f>
        <v>Skyler</v>
      </c>
      <c r="I10" s="17" t="str">
        <f>INDEX(Employees!$C$2:$C$17,MATCH(B10,Employees!$A$2:$A$17,0))</f>
        <v>Receiving Clerk</v>
      </c>
      <c r="J10" s="25">
        <f t="shared" si="0"/>
        <v>24.507042253521128</v>
      </c>
      <c r="K10" s="19">
        <f>IF(J10=0,0,J10/INDEX('Labor Dashboard'!$C$36:$C$39,MATCH(E10,'Labor Dashboard'!$B$36:$B$39,0)))</f>
        <v>0.81690140845070425</v>
      </c>
      <c r="L10" s="18">
        <f t="shared" si="1"/>
        <v>0</v>
      </c>
      <c r="M10" s="20">
        <f>G10*INDEX(Employees!$E$2:$E$17,MATCH(B10,Employees!$A$2:$A$17,0))</f>
        <v>127.8</v>
      </c>
    </row>
    <row r="11" spans="1:13" ht="18" x14ac:dyDescent="0.2">
      <c r="A11" s="17">
        <v>897</v>
      </c>
      <c r="B11" s="17">
        <v>28</v>
      </c>
      <c r="C11" s="17" t="s">
        <v>171</v>
      </c>
      <c r="D11" s="17" t="s">
        <v>791</v>
      </c>
      <c r="E11" s="17" t="s">
        <v>796</v>
      </c>
      <c r="F11" s="17">
        <v>207</v>
      </c>
      <c r="G11" s="17">
        <v>7.9</v>
      </c>
      <c r="H11" s="17" t="str">
        <f>INDEX(Employees!$B$2:$B$17,MATCH(B11,Employees!$A$2:$A$17,0))</f>
        <v>Peyton</v>
      </c>
      <c r="I11" s="17" t="str">
        <f>INDEX(Employees!$C$2:$C$17,MATCH(B11,Employees!$A$2:$A$17,0))</f>
        <v>Cycle Counter</v>
      </c>
      <c r="J11" s="25">
        <f t="shared" si="0"/>
        <v>26.202531645569618</v>
      </c>
      <c r="K11" s="19">
        <f>IF(J11=0,0,J11/INDEX('Labor Dashboard'!$C$36:$C$39,MATCH(E11,'Labor Dashboard'!$B$36:$B$39,0)))</f>
        <v>1.0481012658227846</v>
      </c>
      <c r="L11" s="18">
        <f t="shared" si="1"/>
        <v>0</v>
      </c>
      <c r="M11" s="20">
        <f>G11*INDEX(Employees!$E$2:$E$17,MATCH(B11,Employees!$A$2:$A$17,0))</f>
        <v>142.20000000000002</v>
      </c>
    </row>
    <row r="12" spans="1:13" ht="18" x14ac:dyDescent="0.2">
      <c r="A12" s="17">
        <v>898</v>
      </c>
      <c r="B12" s="17">
        <v>29</v>
      </c>
      <c r="C12" s="17" t="s">
        <v>171</v>
      </c>
      <c r="D12" s="17" t="s">
        <v>793</v>
      </c>
      <c r="E12" s="17" t="s">
        <v>796</v>
      </c>
      <c r="F12" s="17">
        <v>206</v>
      </c>
      <c r="G12" s="17">
        <v>7.6</v>
      </c>
      <c r="H12" s="17" t="str">
        <f>INDEX(Employees!$B$2:$B$17,MATCH(B12,Employees!$A$2:$A$17,0))</f>
        <v>Rowan</v>
      </c>
      <c r="I12" s="17" t="str">
        <f>INDEX(Employees!$C$2:$C$17,MATCH(B12,Employees!$A$2:$A$17,0))</f>
        <v>Cycle Counter</v>
      </c>
      <c r="J12" s="25">
        <f t="shared" si="0"/>
        <v>27.10526315789474</v>
      </c>
      <c r="K12" s="19">
        <f>IF(J12=0,0,J12/INDEX('Labor Dashboard'!$C$36:$C$39,MATCH(E12,'Labor Dashboard'!$B$36:$B$39,0)))</f>
        <v>1.0842105263157895</v>
      </c>
      <c r="L12" s="18">
        <f t="shared" si="1"/>
        <v>0</v>
      </c>
      <c r="M12" s="20">
        <f>G12*INDEX(Employees!$E$2:$E$17,MATCH(B12,Employees!$A$2:$A$17,0))</f>
        <v>136.79999999999998</v>
      </c>
    </row>
    <row r="13" spans="1:13" ht="18" x14ac:dyDescent="0.2">
      <c r="A13" s="17">
        <v>899</v>
      </c>
      <c r="B13" s="17">
        <v>30</v>
      </c>
      <c r="C13" s="17" t="s">
        <v>171</v>
      </c>
      <c r="D13" s="17" t="s">
        <v>793</v>
      </c>
      <c r="E13" s="17" t="s">
        <v>792</v>
      </c>
      <c r="F13" s="17">
        <v>299</v>
      </c>
      <c r="G13" s="17">
        <v>6.9</v>
      </c>
      <c r="H13" s="17" t="str">
        <f>INDEX(Employees!$B$2:$B$17,MATCH(B13,Employees!$A$2:$A$17,0))</f>
        <v>Emerson</v>
      </c>
      <c r="I13" s="17" t="str">
        <f>INDEX(Employees!$C$2:$C$17,MATCH(B13,Employees!$A$2:$A$17,0))</f>
        <v>Shift Supervisor</v>
      </c>
      <c r="J13" s="25">
        <f t="shared" si="0"/>
        <v>43.333333333333329</v>
      </c>
      <c r="K13" s="19">
        <f>IF(J13=0,0,J13/INDEX('Labor Dashboard'!$C$36:$C$39,MATCH(E13,'Labor Dashboard'!$B$36:$B$39,0)))</f>
        <v>0.78787878787878785</v>
      </c>
      <c r="L13" s="18">
        <f t="shared" si="1"/>
        <v>0</v>
      </c>
      <c r="M13" s="20">
        <f>G13*INDEX(Employees!$E$2:$E$17,MATCH(B13,Employees!$A$2:$A$17,0))</f>
        <v>165.60000000000002</v>
      </c>
    </row>
    <row r="14" spans="1:13" ht="18" x14ac:dyDescent="0.2">
      <c r="A14" s="17">
        <v>900</v>
      </c>
      <c r="B14" s="17">
        <v>31</v>
      </c>
      <c r="C14" s="17" t="s">
        <v>171</v>
      </c>
      <c r="D14" s="17" t="s">
        <v>793</v>
      </c>
      <c r="E14" s="17" t="s">
        <v>795</v>
      </c>
      <c r="F14" s="17">
        <v>288</v>
      </c>
      <c r="G14" s="17">
        <v>8</v>
      </c>
      <c r="H14" s="17" t="str">
        <f>INDEX(Employees!$B$2:$B$17,MATCH(B14,Employees!$A$2:$A$17,0))</f>
        <v>Finley</v>
      </c>
      <c r="I14" s="17" t="str">
        <f>INDEX(Employees!$C$2:$C$17,MATCH(B14,Employees!$A$2:$A$17,0))</f>
        <v>Shift Supervisor</v>
      </c>
      <c r="J14" s="25">
        <f t="shared" si="0"/>
        <v>36</v>
      </c>
      <c r="K14" s="19">
        <f>IF(J14=0,0,J14/INDEX('Labor Dashboard'!$C$36:$C$39,MATCH(E14,'Labor Dashboard'!$B$36:$B$39,0)))</f>
        <v>1.2</v>
      </c>
      <c r="L14" s="18">
        <f t="shared" si="1"/>
        <v>0</v>
      </c>
      <c r="M14" s="20">
        <f>G14*INDEX(Employees!$E$2:$E$17,MATCH(B14,Employees!$A$2:$A$17,0))</f>
        <v>192</v>
      </c>
    </row>
    <row r="15" spans="1:13" ht="18" x14ac:dyDescent="0.2">
      <c r="A15" s="17">
        <v>901</v>
      </c>
      <c r="B15" s="17">
        <v>32</v>
      </c>
      <c r="C15" s="17" t="s">
        <v>171</v>
      </c>
      <c r="D15" s="17" t="s">
        <v>791</v>
      </c>
      <c r="E15" s="17" t="s">
        <v>792</v>
      </c>
      <c r="F15" s="17">
        <v>386</v>
      </c>
      <c r="G15" s="17">
        <v>8.3000000000000007</v>
      </c>
      <c r="H15" s="17" t="str">
        <f>INDEX(Employees!$B$2:$B$17,MATCH(B15,Employees!$A$2:$A$17,0))</f>
        <v>Sawyer</v>
      </c>
      <c r="I15" s="17" t="str">
        <f>INDEX(Employees!$C$2:$C$17,MATCH(B15,Employees!$A$2:$A$17,0))</f>
        <v>Shift Supervisor</v>
      </c>
      <c r="J15" s="25">
        <f t="shared" si="0"/>
        <v>46.506024096385538</v>
      </c>
      <c r="K15" s="19">
        <f>IF(J15=0,0,J15/INDEX('Labor Dashboard'!$C$36:$C$39,MATCH(E15,'Labor Dashboard'!$B$36:$B$39,0)))</f>
        <v>0.84556407447973703</v>
      </c>
      <c r="L15" s="18">
        <f t="shared" si="1"/>
        <v>0</v>
      </c>
      <c r="M15" s="20">
        <f>G15*INDEX(Employees!$E$2:$E$17,MATCH(B15,Employees!$A$2:$A$17,0))</f>
        <v>199.20000000000002</v>
      </c>
    </row>
    <row r="16" spans="1:13" ht="18" x14ac:dyDescent="0.2">
      <c r="A16" s="17">
        <v>902</v>
      </c>
      <c r="B16" s="17">
        <v>17</v>
      </c>
      <c r="C16" s="17" t="s">
        <v>797</v>
      </c>
      <c r="D16" s="17" t="s">
        <v>791</v>
      </c>
      <c r="E16" s="17" t="s">
        <v>792</v>
      </c>
      <c r="F16" s="17">
        <v>413</v>
      </c>
      <c r="G16" s="17">
        <v>7.9</v>
      </c>
      <c r="H16" s="17" t="str">
        <f>INDEX(Employees!$B$2:$B$17,MATCH(B16,Employees!$A$2:$A$17,0))</f>
        <v>Jordan</v>
      </c>
      <c r="I16" s="17" t="str">
        <f>INDEX(Employees!$C$2:$C$17,MATCH(B16,Employees!$A$2:$A$17,0))</f>
        <v>Picker</v>
      </c>
      <c r="J16" s="25">
        <f t="shared" si="0"/>
        <v>52.278481012658226</v>
      </c>
      <c r="K16" s="19">
        <f>IF(J16=0,0,J16/INDEX('Labor Dashboard'!$C$36:$C$39,MATCH(E16,'Labor Dashboard'!$B$36:$B$39,0)))</f>
        <v>0.95051783659378597</v>
      </c>
      <c r="L16" s="18">
        <f t="shared" si="1"/>
        <v>0</v>
      </c>
      <c r="M16" s="20">
        <f>G16*INDEX(Employees!$E$2:$E$17,MATCH(B16,Employees!$A$2:$A$17,0))</f>
        <v>134.30000000000001</v>
      </c>
    </row>
    <row r="17" spans="1:13" ht="18" x14ac:dyDescent="0.2">
      <c r="A17" s="17">
        <v>903</v>
      </c>
      <c r="B17" s="17">
        <v>19</v>
      </c>
      <c r="C17" s="17" t="s">
        <v>797</v>
      </c>
      <c r="D17" s="17" t="s">
        <v>791</v>
      </c>
      <c r="E17" s="17" t="s">
        <v>792</v>
      </c>
      <c r="F17" s="17">
        <v>478</v>
      </c>
      <c r="G17" s="17">
        <v>8.3000000000000007</v>
      </c>
      <c r="H17" s="17" t="str">
        <f>INDEX(Employees!$B$2:$B$17,MATCH(B17,Employees!$A$2:$A$17,0))</f>
        <v>Morgan</v>
      </c>
      <c r="I17" s="17" t="str">
        <f>INDEX(Employees!$C$2:$C$17,MATCH(B17,Employees!$A$2:$A$17,0))</f>
        <v>Picker</v>
      </c>
      <c r="J17" s="25">
        <f t="shared" si="0"/>
        <v>57.590361445783131</v>
      </c>
      <c r="K17" s="19">
        <f>IF(J17=0,0,J17/INDEX('Labor Dashboard'!$C$36:$C$39,MATCH(E17,'Labor Dashboard'!$B$36:$B$39,0)))</f>
        <v>1.0470974808324205</v>
      </c>
      <c r="L17" s="18">
        <f t="shared" si="1"/>
        <v>0</v>
      </c>
      <c r="M17" s="20">
        <f>G17*INDEX(Employees!$E$2:$E$17,MATCH(B17,Employees!$A$2:$A$17,0))</f>
        <v>141.10000000000002</v>
      </c>
    </row>
    <row r="18" spans="1:13" ht="18" x14ac:dyDescent="0.2">
      <c r="A18" s="17">
        <v>904</v>
      </c>
      <c r="B18" s="17">
        <v>20</v>
      </c>
      <c r="C18" s="17" t="s">
        <v>797</v>
      </c>
      <c r="D18" s="17" t="s">
        <v>791</v>
      </c>
      <c r="E18" s="17" t="s">
        <v>792</v>
      </c>
      <c r="F18" s="17">
        <v>339</v>
      </c>
      <c r="G18" s="17">
        <v>6.8</v>
      </c>
      <c r="H18" s="17" t="str">
        <f>INDEX(Employees!$B$2:$B$17,MATCH(B18,Employees!$A$2:$A$17,0))</f>
        <v>Taylor</v>
      </c>
      <c r="I18" s="17" t="str">
        <f>INDEX(Employees!$C$2:$C$17,MATCH(B18,Employees!$A$2:$A$17,0))</f>
        <v>Picker</v>
      </c>
      <c r="J18" s="25">
        <f t="shared" si="0"/>
        <v>49.852941176470587</v>
      </c>
      <c r="K18" s="19">
        <f>IF(J18=0,0,J18/INDEX('Labor Dashboard'!$C$36:$C$39,MATCH(E18,'Labor Dashboard'!$B$36:$B$39,0)))</f>
        <v>0.9064171122994652</v>
      </c>
      <c r="L18" s="18">
        <f t="shared" si="1"/>
        <v>0</v>
      </c>
      <c r="M18" s="20">
        <f>G18*INDEX(Employees!$E$2:$E$17,MATCH(B18,Employees!$A$2:$A$17,0))</f>
        <v>115.6</v>
      </c>
    </row>
    <row r="19" spans="1:13" ht="18" x14ac:dyDescent="0.2">
      <c r="A19" s="17">
        <v>905</v>
      </c>
      <c r="B19" s="17">
        <v>21</v>
      </c>
      <c r="C19" s="17" t="s">
        <v>797</v>
      </c>
      <c r="D19" s="17" t="s">
        <v>793</v>
      </c>
      <c r="E19" s="17" t="s">
        <v>794</v>
      </c>
      <c r="F19" s="17">
        <v>302</v>
      </c>
      <c r="G19" s="17">
        <v>8.1999999999999993</v>
      </c>
      <c r="H19" s="17" t="str">
        <f>INDEX(Employees!$B$2:$B$17,MATCH(B19,Employees!$A$2:$A$17,0))</f>
        <v>Riley</v>
      </c>
      <c r="I19" s="17" t="str">
        <f>INDEX(Employees!$C$2:$C$17,MATCH(B19,Employees!$A$2:$A$17,0))</f>
        <v>Packer</v>
      </c>
      <c r="J19" s="25">
        <f t="shared" si="0"/>
        <v>36.829268292682933</v>
      </c>
      <c r="K19" s="19">
        <f>IF(J19=0,0,J19/INDEX('Labor Dashboard'!$C$36:$C$39,MATCH(E19,'Labor Dashboard'!$B$36:$B$39,0)))</f>
        <v>0.81842818428184294</v>
      </c>
      <c r="L19" s="18">
        <f t="shared" si="1"/>
        <v>0</v>
      </c>
      <c r="M19" s="20">
        <f>G19*INDEX(Employees!$E$2:$E$17,MATCH(B19,Employees!$A$2:$A$17,0))</f>
        <v>139.39999999999998</v>
      </c>
    </row>
    <row r="20" spans="1:13" ht="18" x14ac:dyDescent="0.2">
      <c r="A20" s="17">
        <v>906</v>
      </c>
      <c r="B20" s="17">
        <v>22</v>
      </c>
      <c r="C20" s="17" t="s">
        <v>797</v>
      </c>
      <c r="D20" s="17" t="s">
        <v>793</v>
      </c>
      <c r="E20" s="17" t="s">
        <v>794</v>
      </c>
      <c r="F20" s="17">
        <v>339</v>
      </c>
      <c r="G20" s="17">
        <v>7.3</v>
      </c>
      <c r="H20" s="17" t="str">
        <f>INDEX(Employees!$B$2:$B$17,MATCH(B20,Employees!$A$2:$A$17,0))</f>
        <v>Avery</v>
      </c>
      <c r="I20" s="17" t="str">
        <f>INDEX(Employees!$C$2:$C$17,MATCH(B20,Employees!$A$2:$A$17,0))</f>
        <v>Packer</v>
      </c>
      <c r="J20" s="25">
        <f t="shared" si="0"/>
        <v>46.438356164383563</v>
      </c>
      <c r="K20" s="19">
        <f>IF(J20=0,0,J20/INDEX('Labor Dashboard'!$C$36:$C$39,MATCH(E20,'Labor Dashboard'!$B$36:$B$39,0)))</f>
        <v>1.0319634703196348</v>
      </c>
      <c r="L20" s="18">
        <f t="shared" si="1"/>
        <v>0</v>
      </c>
      <c r="M20" s="20">
        <f>G20*INDEX(Employees!$E$2:$E$17,MATCH(B20,Employees!$A$2:$A$17,0))</f>
        <v>124.1</v>
      </c>
    </row>
    <row r="21" spans="1:13" ht="18" x14ac:dyDescent="0.2">
      <c r="A21" s="17">
        <v>907</v>
      </c>
      <c r="B21" s="17">
        <v>23</v>
      </c>
      <c r="C21" s="17" t="s">
        <v>797</v>
      </c>
      <c r="D21" s="17" t="s">
        <v>793</v>
      </c>
      <c r="E21" s="17" t="s">
        <v>794</v>
      </c>
      <c r="F21" s="17">
        <v>446</v>
      </c>
      <c r="G21" s="17">
        <v>8.5</v>
      </c>
      <c r="H21" s="17" t="str">
        <f>INDEX(Employees!$B$2:$B$17,MATCH(B21,Employees!$A$2:$A$17,0))</f>
        <v>Cameron</v>
      </c>
      <c r="I21" s="17" t="str">
        <f>INDEX(Employees!$C$2:$C$17,MATCH(B21,Employees!$A$2:$A$17,0))</f>
        <v>Packer</v>
      </c>
      <c r="J21" s="25">
        <f t="shared" si="0"/>
        <v>52.470588235294116</v>
      </c>
      <c r="K21" s="19">
        <f>IF(J21=0,0,J21/INDEX('Labor Dashboard'!$C$36:$C$39,MATCH(E21,'Labor Dashboard'!$B$36:$B$39,0)))</f>
        <v>1.1660130718954247</v>
      </c>
      <c r="L21" s="18">
        <f t="shared" si="1"/>
        <v>0</v>
      </c>
      <c r="M21" s="20">
        <f>G21*INDEX(Employees!$E$2:$E$17,MATCH(B21,Employees!$A$2:$A$17,0))</f>
        <v>144.5</v>
      </c>
    </row>
    <row r="22" spans="1:13" ht="18" x14ac:dyDescent="0.2">
      <c r="A22" s="17">
        <v>908</v>
      </c>
      <c r="B22" s="17">
        <v>24</v>
      </c>
      <c r="C22" s="17" t="s">
        <v>797</v>
      </c>
      <c r="D22" s="17" t="s">
        <v>793</v>
      </c>
      <c r="E22" s="17" t="s">
        <v>795</v>
      </c>
      <c r="F22" s="17">
        <v>254</v>
      </c>
      <c r="G22" s="17">
        <v>8.4</v>
      </c>
      <c r="H22" s="17" t="str">
        <f>INDEX(Employees!$B$2:$B$17,MATCH(B22,Employees!$A$2:$A$17,0))</f>
        <v>Dakota</v>
      </c>
      <c r="I22" s="17" t="str">
        <f>INDEX(Employees!$C$2:$C$17,MATCH(B22,Employees!$A$2:$A$17,0))</f>
        <v>Forklift Operator</v>
      </c>
      <c r="J22" s="25">
        <f t="shared" si="0"/>
        <v>30.238095238095237</v>
      </c>
      <c r="K22" s="19">
        <f>IF(J22=0,0,J22/INDEX('Labor Dashboard'!$C$36:$C$39,MATCH(E22,'Labor Dashboard'!$B$36:$B$39,0)))</f>
        <v>1.0079365079365079</v>
      </c>
      <c r="L22" s="18">
        <f t="shared" si="1"/>
        <v>0</v>
      </c>
      <c r="M22" s="20">
        <f>G22*INDEX(Employees!$E$2:$E$17,MATCH(B22,Employees!$A$2:$A$17,0))</f>
        <v>163.80000000000001</v>
      </c>
    </row>
    <row r="23" spans="1:13" ht="18" x14ac:dyDescent="0.2">
      <c r="A23" s="17">
        <v>909</v>
      </c>
      <c r="B23" s="17">
        <v>25</v>
      </c>
      <c r="C23" s="17" t="s">
        <v>797</v>
      </c>
      <c r="D23" s="17" t="s">
        <v>791</v>
      </c>
      <c r="E23" s="17" t="s">
        <v>795</v>
      </c>
      <c r="F23" s="17">
        <v>243</v>
      </c>
      <c r="G23" s="17">
        <v>8.3000000000000007</v>
      </c>
      <c r="H23" s="17" t="str">
        <f>INDEX(Employees!$B$2:$B$17,MATCH(B23,Employees!$A$2:$A$17,0))</f>
        <v>Hayden</v>
      </c>
      <c r="I23" s="17" t="str">
        <f>INDEX(Employees!$C$2:$C$17,MATCH(B23,Employees!$A$2:$A$17,0))</f>
        <v>Forklift Operator</v>
      </c>
      <c r="J23" s="25">
        <f t="shared" si="0"/>
        <v>29.277108433734938</v>
      </c>
      <c r="K23" s="19">
        <f>IF(J23=0,0,J23/INDEX('Labor Dashboard'!$C$36:$C$39,MATCH(E23,'Labor Dashboard'!$B$36:$B$39,0)))</f>
        <v>0.97590361445783125</v>
      </c>
      <c r="L23" s="18">
        <f t="shared" si="1"/>
        <v>0</v>
      </c>
      <c r="M23" s="20">
        <f>G23*INDEX(Employees!$E$2:$E$17,MATCH(B23,Employees!$A$2:$A$17,0))</f>
        <v>161.85000000000002</v>
      </c>
    </row>
    <row r="24" spans="1:13" ht="18" x14ac:dyDescent="0.2">
      <c r="A24" s="17">
        <v>910</v>
      </c>
      <c r="B24" s="17">
        <v>26</v>
      </c>
      <c r="C24" s="17" t="s">
        <v>797</v>
      </c>
      <c r="D24" s="17" t="s">
        <v>793</v>
      </c>
      <c r="E24" s="17" t="s">
        <v>795</v>
      </c>
      <c r="F24" s="17">
        <v>220</v>
      </c>
      <c r="G24" s="17">
        <v>7.5</v>
      </c>
      <c r="H24" s="17" t="str">
        <f>INDEX(Employees!$B$2:$B$17,MATCH(B24,Employees!$A$2:$A$17,0))</f>
        <v>Reese</v>
      </c>
      <c r="I24" s="17" t="str">
        <f>INDEX(Employees!$C$2:$C$17,MATCH(B24,Employees!$A$2:$A$17,0))</f>
        <v>Receiving Clerk</v>
      </c>
      <c r="J24" s="25">
        <f t="shared" si="0"/>
        <v>29.333333333333332</v>
      </c>
      <c r="K24" s="19">
        <f>IF(J24=0,0,J24/INDEX('Labor Dashboard'!$C$36:$C$39,MATCH(E24,'Labor Dashboard'!$B$36:$B$39,0)))</f>
        <v>0.97777777777777775</v>
      </c>
      <c r="L24" s="18">
        <f t="shared" si="1"/>
        <v>0</v>
      </c>
      <c r="M24" s="20">
        <f>G24*INDEX(Employees!$E$2:$E$17,MATCH(B24,Employees!$A$2:$A$17,0))</f>
        <v>135</v>
      </c>
    </row>
    <row r="25" spans="1:13" ht="18" x14ac:dyDescent="0.2">
      <c r="A25" s="17">
        <v>911</v>
      </c>
      <c r="B25" s="17">
        <v>27</v>
      </c>
      <c r="C25" s="17" t="s">
        <v>797</v>
      </c>
      <c r="D25" s="17" t="s">
        <v>791</v>
      </c>
      <c r="E25" s="17" t="s">
        <v>795</v>
      </c>
      <c r="F25" s="17">
        <v>175</v>
      </c>
      <c r="G25" s="17">
        <v>6.8</v>
      </c>
      <c r="H25" s="17" t="str">
        <f>INDEX(Employees!$B$2:$B$17,MATCH(B25,Employees!$A$2:$A$17,0))</f>
        <v>Skyler</v>
      </c>
      <c r="I25" s="17" t="str">
        <f>INDEX(Employees!$C$2:$C$17,MATCH(B25,Employees!$A$2:$A$17,0))</f>
        <v>Receiving Clerk</v>
      </c>
      <c r="J25" s="25">
        <f t="shared" si="0"/>
        <v>25.735294117647058</v>
      </c>
      <c r="K25" s="19">
        <f>IF(J25=0,0,J25/INDEX('Labor Dashboard'!$C$36:$C$39,MATCH(E25,'Labor Dashboard'!$B$36:$B$39,0)))</f>
        <v>0.85784313725490191</v>
      </c>
      <c r="L25" s="18">
        <f t="shared" si="1"/>
        <v>0</v>
      </c>
      <c r="M25" s="20">
        <f>G25*INDEX(Employees!$E$2:$E$17,MATCH(B25,Employees!$A$2:$A$17,0))</f>
        <v>122.39999999999999</v>
      </c>
    </row>
    <row r="26" spans="1:13" ht="18" x14ac:dyDescent="0.2">
      <c r="A26" s="17">
        <v>912</v>
      </c>
      <c r="B26" s="17">
        <v>28</v>
      </c>
      <c r="C26" s="17" t="s">
        <v>797</v>
      </c>
      <c r="D26" s="17" t="s">
        <v>791</v>
      </c>
      <c r="E26" s="17" t="s">
        <v>796</v>
      </c>
      <c r="F26" s="17">
        <v>161</v>
      </c>
      <c r="G26" s="17">
        <v>7</v>
      </c>
      <c r="H26" s="17" t="str">
        <f>INDEX(Employees!$B$2:$B$17,MATCH(B26,Employees!$A$2:$A$17,0))</f>
        <v>Peyton</v>
      </c>
      <c r="I26" s="17" t="str">
        <f>INDEX(Employees!$C$2:$C$17,MATCH(B26,Employees!$A$2:$A$17,0))</f>
        <v>Cycle Counter</v>
      </c>
      <c r="J26" s="25">
        <f t="shared" si="0"/>
        <v>23</v>
      </c>
      <c r="K26" s="19">
        <f>IF(J26=0,0,J26/INDEX('Labor Dashboard'!$C$36:$C$39,MATCH(E26,'Labor Dashboard'!$B$36:$B$39,0)))</f>
        <v>0.92</v>
      </c>
      <c r="L26" s="18">
        <f t="shared" si="1"/>
        <v>0</v>
      </c>
      <c r="M26" s="20">
        <f>G26*INDEX(Employees!$E$2:$E$17,MATCH(B26,Employees!$A$2:$A$17,0))</f>
        <v>126</v>
      </c>
    </row>
    <row r="27" spans="1:13" ht="18" x14ac:dyDescent="0.2">
      <c r="A27" s="17">
        <v>913</v>
      </c>
      <c r="B27" s="17">
        <v>29</v>
      </c>
      <c r="C27" s="17" t="s">
        <v>797</v>
      </c>
      <c r="D27" s="17" t="s">
        <v>793</v>
      </c>
      <c r="E27" s="17" t="s">
        <v>796</v>
      </c>
      <c r="F27" s="17">
        <v>214</v>
      </c>
      <c r="G27" s="17">
        <v>7.9</v>
      </c>
      <c r="H27" s="17" t="str">
        <f>INDEX(Employees!$B$2:$B$17,MATCH(B27,Employees!$A$2:$A$17,0))</f>
        <v>Rowan</v>
      </c>
      <c r="I27" s="17" t="str">
        <f>INDEX(Employees!$C$2:$C$17,MATCH(B27,Employees!$A$2:$A$17,0))</f>
        <v>Cycle Counter</v>
      </c>
      <c r="J27" s="25">
        <f t="shared" si="0"/>
        <v>27.088607594936708</v>
      </c>
      <c r="K27" s="19">
        <f>IF(J27=0,0,J27/INDEX('Labor Dashboard'!$C$36:$C$39,MATCH(E27,'Labor Dashboard'!$B$36:$B$39,0)))</f>
        <v>1.0835443037974684</v>
      </c>
      <c r="L27" s="18">
        <f t="shared" si="1"/>
        <v>0</v>
      </c>
      <c r="M27" s="20">
        <f>G27*INDEX(Employees!$E$2:$E$17,MATCH(B27,Employees!$A$2:$A$17,0))</f>
        <v>142.20000000000002</v>
      </c>
    </row>
    <row r="28" spans="1:13" ht="18" x14ac:dyDescent="0.2">
      <c r="A28" s="17">
        <v>914</v>
      </c>
      <c r="B28" s="17">
        <v>30</v>
      </c>
      <c r="C28" s="17" t="s">
        <v>797</v>
      </c>
      <c r="D28" s="17" t="s">
        <v>791</v>
      </c>
      <c r="E28" s="17" t="s">
        <v>794</v>
      </c>
      <c r="F28" s="17">
        <v>253</v>
      </c>
      <c r="G28" s="17">
        <v>6.8</v>
      </c>
      <c r="H28" s="17" t="str">
        <f>INDEX(Employees!$B$2:$B$17,MATCH(B28,Employees!$A$2:$A$17,0))</f>
        <v>Emerson</v>
      </c>
      <c r="I28" s="17" t="str">
        <f>INDEX(Employees!$C$2:$C$17,MATCH(B28,Employees!$A$2:$A$17,0))</f>
        <v>Shift Supervisor</v>
      </c>
      <c r="J28" s="25">
        <f t="shared" si="0"/>
        <v>37.205882352941174</v>
      </c>
      <c r="K28" s="19">
        <f>IF(J28=0,0,J28/INDEX('Labor Dashboard'!$C$36:$C$39,MATCH(E28,'Labor Dashboard'!$B$36:$B$39,0)))</f>
        <v>0.82679738562091498</v>
      </c>
      <c r="L28" s="18">
        <f t="shared" si="1"/>
        <v>0</v>
      </c>
      <c r="M28" s="20">
        <f>G28*INDEX(Employees!$E$2:$E$17,MATCH(B28,Employees!$A$2:$A$17,0))</f>
        <v>163.19999999999999</v>
      </c>
    </row>
    <row r="29" spans="1:13" ht="18" x14ac:dyDescent="0.2">
      <c r="A29" s="17">
        <v>915</v>
      </c>
      <c r="B29" s="17">
        <v>31</v>
      </c>
      <c r="C29" s="17" t="s">
        <v>797</v>
      </c>
      <c r="D29" s="17" t="s">
        <v>793</v>
      </c>
      <c r="E29" s="17" t="s">
        <v>794</v>
      </c>
      <c r="F29" s="17">
        <v>303</v>
      </c>
      <c r="G29" s="17">
        <v>6.6</v>
      </c>
      <c r="H29" s="17" t="str">
        <f>INDEX(Employees!$B$2:$B$17,MATCH(B29,Employees!$A$2:$A$17,0))</f>
        <v>Finley</v>
      </c>
      <c r="I29" s="17" t="str">
        <f>INDEX(Employees!$C$2:$C$17,MATCH(B29,Employees!$A$2:$A$17,0))</f>
        <v>Shift Supervisor</v>
      </c>
      <c r="J29" s="25">
        <f t="shared" si="0"/>
        <v>45.909090909090914</v>
      </c>
      <c r="K29" s="19">
        <f>IF(J29=0,0,J29/INDEX('Labor Dashboard'!$C$36:$C$39,MATCH(E29,'Labor Dashboard'!$B$36:$B$39,0)))</f>
        <v>1.0202020202020203</v>
      </c>
      <c r="L29" s="18">
        <f t="shared" si="1"/>
        <v>0</v>
      </c>
      <c r="M29" s="20">
        <f>G29*INDEX(Employees!$E$2:$E$17,MATCH(B29,Employees!$A$2:$A$17,0))</f>
        <v>158.39999999999998</v>
      </c>
    </row>
    <row r="30" spans="1:13" ht="18" x14ac:dyDescent="0.2">
      <c r="A30" s="17">
        <v>916</v>
      </c>
      <c r="B30" s="17">
        <v>32</v>
      </c>
      <c r="C30" s="17" t="s">
        <v>797</v>
      </c>
      <c r="D30" s="17" t="s">
        <v>793</v>
      </c>
      <c r="E30" s="17" t="s">
        <v>795</v>
      </c>
      <c r="F30" s="17">
        <v>213</v>
      </c>
      <c r="G30" s="17">
        <v>7.3</v>
      </c>
      <c r="H30" s="17" t="str">
        <f>INDEX(Employees!$B$2:$B$17,MATCH(B30,Employees!$A$2:$A$17,0))</f>
        <v>Sawyer</v>
      </c>
      <c r="I30" s="17" t="str">
        <f>INDEX(Employees!$C$2:$C$17,MATCH(B30,Employees!$A$2:$A$17,0))</f>
        <v>Shift Supervisor</v>
      </c>
      <c r="J30" s="25">
        <f t="shared" si="0"/>
        <v>29.178082191780824</v>
      </c>
      <c r="K30" s="19">
        <f>IF(J30=0,0,J30/INDEX('Labor Dashboard'!$C$36:$C$39,MATCH(E30,'Labor Dashboard'!$B$36:$B$39,0)))</f>
        <v>0.97260273972602751</v>
      </c>
      <c r="L30" s="18">
        <f t="shared" si="1"/>
        <v>0</v>
      </c>
      <c r="M30" s="20">
        <f>G30*INDEX(Employees!$E$2:$E$17,MATCH(B30,Employees!$A$2:$A$17,0))</f>
        <v>175.2</v>
      </c>
    </row>
    <row r="31" spans="1:13" ht="18" x14ac:dyDescent="0.2">
      <c r="A31" s="17">
        <v>917</v>
      </c>
      <c r="B31" s="17">
        <v>17</v>
      </c>
      <c r="C31" s="17" t="s">
        <v>798</v>
      </c>
      <c r="D31" s="17" t="s">
        <v>791</v>
      </c>
      <c r="E31" s="17" t="s">
        <v>792</v>
      </c>
      <c r="F31" s="17">
        <v>373</v>
      </c>
      <c r="G31" s="17">
        <v>8.1999999999999993</v>
      </c>
      <c r="H31" s="17" t="str">
        <f>INDEX(Employees!$B$2:$B$17,MATCH(B31,Employees!$A$2:$A$17,0))</f>
        <v>Jordan</v>
      </c>
      <c r="I31" s="17" t="str">
        <f>INDEX(Employees!$C$2:$C$17,MATCH(B31,Employees!$A$2:$A$17,0))</f>
        <v>Picker</v>
      </c>
      <c r="J31" s="25">
        <f t="shared" si="0"/>
        <v>45.487804878048784</v>
      </c>
      <c r="K31" s="19">
        <f>IF(J31=0,0,J31/INDEX('Labor Dashboard'!$C$36:$C$39,MATCH(E31,'Labor Dashboard'!$B$36:$B$39,0)))</f>
        <v>0.82705099778270519</v>
      </c>
      <c r="L31" s="18">
        <f t="shared" si="1"/>
        <v>0</v>
      </c>
      <c r="M31" s="20">
        <f>G31*INDEX(Employees!$E$2:$E$17,MATCH(B31,Employees!$A$2:$A$17,0))</f>
        <v>139.39999999999998</v>
      </c>
    </row>
    <row r="32" spans="1:13" ht="18" x14ac:dyDescent="0.2">
      <c r="A32" s="17">
        <v>918</v>
      </c>
      <c r="B32" s="17">
        <v>18</v>
      </c>
      <c r="C32" s="17" t="s">
        <v>798</v>
      </c>
      <c r="D32" s="17" t="s">
        <v>791</v>
      </c>
      <c r="E32" s="17" t="s">
        <v>792</v>
      </c>
      <c r="F32" s="17">
        <v>429</v>
      </c>
      <c r="G32" s="17">
        <v>8.1</v>
      </c>
      <c r="H32" s="17" t="str">
        <f>INDEX(Employees!$B$2:$B$17,MATCH(B32,Employees!$A$2:$A$17,0))</f>
        <v>Casey</v>
      </c>
      <c r="I32" s="17" t="str">
        <f>INDEX(Employees!$C$2:$C$17,MATCH(B32,Employees!$A$2:$A$17,0))</f>
        <v>Picker</v>
      </c>
      <c r="J32" s="25">
        <f t="shared" si="0"/>
        <v>52.962962962962962</v>
      </c>
      <c r="K32" s="19">
        <f>IF(J32=0,0,J32/INDEX('Labor Dashboard'!$C$36:$C$39,MATCH(E32,'Labor Dashboard'!$B$36:$B$39,0)))</f>
        <v>0.96296296296296291</v>
      </c>
      <c r="L32" s="18">
        <f t="shared" si="1"/>
        <v>0</v>
      </c>
      <c r="M32" s="20">
        <f>G32*INDEX(Employees!$E$2:$E$17,MATCH(B32,Employees!$A$2:$A$17,0))</f>
        <v>137.69999999999999</v>
      </c>
    </row>
    <row r="33" spans="1:13" ht="18" x14ac:dyDescent="0.2">
      <c r="A33" s="17">
        <v>919</v>
      </c>
      <c r="B33" s="17">
        <v>19</v>
      </c>
      <c r="C33" s="17" t="s">
        <v>798</v>
      </c>
      <c r="D33" s="17" t="s">
        <v>791</v>
      </c>
      <c r="E33" s="17" t="s">
        <v>792</v>
      </c>
      <c r="F33" s="17">
        <v>431</v>
      </c>
      <c r="G33" s="17">
        <v>8</v>
      </c>
      <c r="H33" s="17" t="str">
        <f>INDEX(Employees!$B$2:$B$17,MATCH(B33,Employees!$A$2:$A$17,0))</f>
        <v>Morgan</v>
      </c>
      <c r="I33" s="17" t="str">
        <f>INDEX(Employees!$C$2:$C$17,MATCH(B33,Employees!$A$2:$A$17,0))</f>
        <v>Picker</v>
      </c>
      <c r="J33" s="25">
        <f t="shared" si="0"/>
        <v>53.875</v>
      </c>
      <c r="K33" s="19">
        <f>IF(J33=0,0,J33/INDEX('Labor Dashboard'!$C$36:$C$39,MATCH(E33,'Labor Dashboard'!$B$36:$B$39,0)))</f>
        <v>0.9795454545454545</v>
      </c>
      <c r="L33" s="18">
        <f t="shared" si="1"/>
        <v>0</v>
      </c>
      <c r="M33" s="20">
        <f>G33*INDEX(Employees!$E$2:$E$17,MATCH(B33,Employees!$A$2:$A$17,0))</f>
        <v>136</v>
      </c>
    </row>
    <row r="34" spans="1:13" ht="18" x14ac:dyDescent="0.2">
      <c r="A34" s="17">
        <v>920</v>
      </c>
      <c r="B34" s="17">
        <v>20</v>
      </c>
      <c r="C34" s="17" t="s">
        <v>798</v>
      </c>
      <c r="D34" s="17" t="s">
        <v>793</v>
      </c>
      <c r="E34" s="17" t="s">
        <v>792</v>
      </c>
      <c r="F34" s="17">
        <v>414</v>
      </c>
      <c r="G34" s="17">
        <v>8</v>
      </c>
      <c r="H34" s="17" t="str">
        <f>INDEX(Employees!$B$2:$B$17,MATCH(B34,Employees!$A$2:$A$17,0))</f>
        <v>Taylor</v>
      </c>
      <c r="I34" s="17" t="str">
        <f>INDEX(Employees!$C$2:$C$17,MATCH(B34,Employees!$A$2:$A$17,0))</f>
        <v>Picker</v>
      </c>
      <c r="J34" s="25">
        <f t="shared" si="0"/>
        <v>51.75</v>
      </c>
      <c r="K34" s="19">
        <f>IF(J34=0,0,J34/INDEX('Labor Dashboard'!$C$36:$C$39,MATCH(E34,'Labor Dashboard'!$B$36:$B$39,0)))</f>
        <v>0.94090909090909092</v>
      </c>
      <c r="L34" s="18">
        <f t="shared" si="1"/>
        <v>0</v>
      </c>
      <c r="M34" s="20">
        <f>G34*INDEX(Employees!$E$2:$E$17,MATCH(B34,Employees!$A$2:$A$17,0))</f>
        <v>136</v>
      </c>
    </row>
    <row r="35" spans="1:13" ht="18" x14ac:dyDescent="0.2">
      <c r="A35" s="17">
        <v>921</v>
      </c>
      <c r="B35" s="17">
        <v>21</v>
      </c>
      <c r="C35" s="17" t="s">
        <v>798</v>
      </c>
      <c r="D35" s="17" t="s">
        <v>793</v>
      </c>
      <c r="E35" s="17" t="s">
        <v>794</v>
      </c>
      <c r="F35" s="17">
        <v>312</v>
      </c>
      <c r="G35" s="17">
        <v>8.4</v>
      </c>
      <c r="H35" s="17" t="str">
        <f>INDEX(Employees!$B$2:$B$17,MATCH(B35,Employees!$A$2:$A$17,0))</f>
        <v>Riley</v>
      </c>
      <c r="I35" s="17" t="str">
        <f>INDEX(Employees!$C$2:$C$17,MATCH(B35,Employees!$A$2:$A$17,0))</f>
        <v>Packer</v>
      </c>
      <c r="J35" s="25">
        <f t="shared" si="0"/>
        <v>37.142857142857139</v>
      </c>
      <c r="K35" s="19">
        <f>IF(J35=0,0,J35/INDEX('Labor Dashboard'!$C$36:$C$39,MATCH(E35,'Labor Dashboard'!$B$36:$B$39,0)))</f>
        <v>0.82539682539682535</v>
      </c>
      <c r="L35" s="18">
        <f t="shared" si="1"/>
        <v>0</v>
      </c>
      <c r="M35" s="20">
        <f>G35*INDEX(Employees!$E$2:$E$17,MATCH(B35,Employees!$A$2:$A$17,0))</f>
        <v>142.80000000000001</v>
      </c>
    </row>
    <row r="36" spans="1:13" ht="18" x14ac:dyDescent="0.2">
      <c r="A36" s="17">
        <v>922</v>
      </c>
      <c r="B36" s="17">
        <v>22</v>
      </c>
      <c r="C36" s="17" t="s">
        <v>798</v>
      </c>
      <c r="D36" s="17" t="s">
        <v>793</v>
      </c>
      <c r="E36" s="17" t="s">
        <v>794</v>
      </c>
      <c r="F36" s="17">
        <v>362</v>
      </c>
      <c r="G36" s="17">
        <v>7.1</v>
      </c>
      <c r="H36" s="17" t="str">
        <f>INDEX(Employees!$B$2:$B$17,MATCH(B36,Employees!$A$2:$A$17,0))</f>
        <v>Avery</v>
      </c>
      <c r="I36" s="17" t="str">
        <f>INDEX(Employees!$C$2:$C$17,MATCH(B36,Employees!$A$2:$A$17,0))</f>
        <v>Packer</v>
      </c>
      <c r="J36" s="25">
        <f t="shared" si="0"/>
        <v>50.985915492957751</v>
      </c>
      <c r="K36" s="19">
        <f>IF(J36=0,0,J36/INDEX('Labor Dashboard'!$C$36:$C$39,MATCH(E36,'Labor Dashboard'!$B$36:$B$39,0)))</f>
        <v>1.1330203442879501</v>
      </c>
      <c r="L36" s="18">
        <f t="shared" si="1"/>
        <v>0</v>
      </c>
      <c r="M36" s="20">
        <f>G36*INDEX(Employees!$E$2:$E$17,MATCH(B36,Employees!$A$2:$A$17,0))</f>
        <v>120.69999999999999</v>
      </c>
    </row>
    <row r="37" spans="1:13" ht="18" x14ac:dyDescent="0.2">
      <c r="A37" s="17">
        <v>923</v>
      </c>
      <c r="B37" s="17">
        <v>23</v>
      </c>
      <c r="C37" s="17" t="s">
        <v>798</v>
      </c>
      <c r="D37" s="17" t="s">
        <v>791</v>
      </c>
      <c r="E37" s="17" t="s">
        <v>794</v>
      </c>
      <c r="F37" s="17">
        <v>371</v>
      </c>
      <c r="G37" s="17">
        <v>7.7</v>
      </c>
      <c r="H37" s="17" t="str">
        <f>INDEX(Employees!$B$2:$B$17,MATCH(B37,Employees!$A$2:$A$17,0))</f>
        <v>Cameron</v>
      </c>
      <c r="I37" s="17" t="str">
        <f>INDEX(Employees!$C$2:$C$17,MATCH(B37,Employees!$A$2:$A$17,0))</f>
        <v>Packer</v>
      </c>
      <c r="J37" s="25">
        <f t="shared" si="0"/>
        <v>48.18181818181818</v>
      </c>
      <c r="K37" s="19">
        <f>IF(J37=0,0,J37/INDEX('Labor Dashboard'!$C$36:$C$39,MATCH(E37,'Labor Dashboard'!$B$36:$B$39,0)))</f>
        <v>1.0707070707070707</v>
      </c>
      <c r="L37" s="18">
        <f t="shared" si="1"/>
        <v>0</v>
      </c>
      <c r="M37" s="20">
        <f>G37*INDEX(Employees!$E$2:$E$17,MATCH(B37,Employees!$A$2:$A$17,0))</f>
        <v>130.9</v>
      </c>
    </row>
    <row r="38" spans="1:13" ht="18" x14ac:dyDescent="0.2">
      <c r="A38" s="17">
        <v>924</v>
      </c>
      <c r="B38" s="17">
        <v>24</v>
      </c>
      <c r="C38" s="17" t="s">
        <v>798</v>
      </c>
      <c r="D38" s="17" t="s">
        <v>791</v>
      </c>
      <c r="E38" s="17" t="s">
        <v>792</v>
      </c>
      <c r="F38" s="17">
        <v>424</v>
      </c>
      <c r="G38" s="17">
        <v>7.8</v>
      </c>
      <c r="H38" s="17" t="str">
        <f>INDEX(Employees!$B$2:$B$17,MATCH(B38,Employees!$A$2:$A$17,0))</f>
        <v>Dakota</v>
      </c>
      <c r="I38" s="17" t="str">
        <f>INDEX(Employees!$C$2:$C$17,MATCH(B38,Employees!$A$2:$A$17,0))</f>
        <v>Forklift Operator</v>
      </c>
      <c r="J38" s="25">
        <f t="shared" si="0"/>
        <v>54.358974358974358</v>
      </c>
      <c r="K38" s="19">
        <f>IF(J38=0,0,J38/INDEX('Labor Dashboard'!$C$36:$C$39,MATCH(E38,'Labor Dashboard'!$B$36:$B$39,0)))</f>
        <v>0.9883449883449883</v>
      </c>
      <c r="L38" s="18">
        <f t="shared" si="1"/>
        <v>0</v>
      </c>
      <c r="M38" s="20">
        <f>G38*INDEX(Employees!$E$2:$E$17,MATCH(B38,Employees!$A$2:$A$17,0))</f>
        <v>152.1</v>
      </c>
    </row>
    <row r="39" spans="1:13" ht="18" x14ac:dyDescent="0.2">
      <c r="A39" s="17">
        <v>925</v>
      </c>
      <c r="B39" s="17">
        <v>26</v>
      </c>
      <c r="C39" s="17" t="s">
        <v>798</v>
      </c>
      <c r="D39" s="17" t="s">
        <v>793</v>
      </c>
      <c r="E39" s="17" t="s">
        <v>795</v>
      </c>
      <c r="F39" s="17">
        <v>223</v>
      </c>
      <c r="G39" s="17">
        <v>7.9</v>
      </c>
      <c r="H39" s="17" t="str">
        <f>INDEX(Employees!$B$2:$B$17,MATCH(B39,Employees!$A$2:$A$17,0))</f>
        <v>Reese</v>
      </c>
      <c r="I39" s="17" t="str">
        <f>INDEX(Employees!$C$2:$C$17,MATCH(B39,Employees!$A$2:$A$17,0))</f>
        <v>Receiving Clerk</v>
      </c>
      <c r="J39" s="25">
        <f t="shared" si="0"/>
        <v>28.22784810126582</v>
      </c>
      <c r="K39" s="19">
        <f>IF(J39=0,0,J39/INDEX('Labor Dashboard'!$C$36:$C$39,MATCH(E39,'Labor Dashboard'!$B$36:$B$39,0)))</f>
        <v>0.94092827004219404</v>
      </c>
      <c r="L39" s="18">
        <f t="shared" si="1"/>
        <v>0</v>
      </c>
      <c r="M39" s="20">
        <f>G39*INDEX(Employees!$E$2:$E$17,MATCH(B39,Employees!$A$2:$A$17,0))</f>
        <v>142.20000000000002</v>
      </c>
    </row>
    <row r="40" spans="1:13" ht="18" x14ac:dyDescent="0.2">
      <c r="A40" s="17">
        <v>926</v>
      </c>
      <c r="B40" s="17">
        <v>27</v>
      </c>
      <c r="C40" s="17" t="s">
        <v>798</v>
      </c>
      <c r="D40" s="17" t="s">
        <v>793</v>
      </c>
      <c r="E40" s="17" t="s">
        <v>795</v>
      </c>
      <c r="F40" s="17">
        <v>147</v>
      </c>
      <c r="G40" s="17">
        <v>6.6</v>
      </c>
      <c r="H40" s="17" t="str">
        <f>INDEX(Employees!$B$2:$B$17,MATCH(B40,Employees!$A$2:$A$17,0))</f>
        <v>Skyler</v>
      </c>
      <c r="I40" s="17" t="str">
        <f>INDEX(Employees!$C$2:$C$17,MATCH(B40,Employees!$A$2:$A$17,0))</f>
        <v>Receiving Clerk</v>
      </c>
      <c r="J40" s="25">
        <f t="shared" si="0"/>
        <v>22.272727272727273</v>
      </c>
      <c r="K40" s="19">
        <f>IF(J40=0,0,J40/INDEX('Labor Dashboard'!$C$36:$C$39,MATCH(E40,'Labor Dashboard'!$B$36:$B$39,0)))</f>
        <v>0.74242424242424243</v>
      </c>
      <c r="L40" s="18">
        <f t="shared" si="1"/>
        <v>0</v>
      </c>
      <c r="M40" s="20">
        <f>G40*INDEX(Employees!$E$2:$E$17,MATCH(B40,Employees!$A$2:$A$17,0))</f>
        <v>118.8</v>
      </c>
    </row>
    <row r="41" spans="1:13" ht="18" x14ac:dyDescent="0.2">
      <c r="A41" s="17">
        <v>927</v>
      </c>
      <c r="B41" s="17">
        <v>28</v>
      </c>
      <c r="C41" s="17" t="s">
        <v>798</v>
      </c>
      <c r="D41" s="17" t="s">
        <v>791</v>
      </c>
      <c r="E41" s="17" t="s">
        <v>796</v>
      </c>
      <c r="F41" s="17">
        <v>172</v>
      </c>
      <c r="G41" s="17">
        <v>7.1</v>
      </c>
      <c r="H41" s="17" t="str">
        <f>INDEX(Employees!$B$2:$B$17,MATCH(B41,Employees!$A$2:$A$17,0))</f>
        <v>Peyton</v>
      </c>
      <c r="I41" s="17" t="str">
        <f>INDEX(Employees!$C$2:$C$17,MATCH(B41,Employees!$A$2:$A$17,0))</f>
        <v>Cycle Counter</v>
      </c>
      <c r="J41" s="25">
        <f t="shared" si="0"/>
        <v>24.225352112676056</v>
      </c>
      <c r="K41" s="19">
        <f>IF(J41=0,0,J41/INDEX('Labor Dashboard'!$C$36:$C$39,MATCH(E41,'Labor Dashboard'!$B$36:$B$39,0)))</f>
        <v>0.96901408450704229</v>
      </c>
      <c r="L41" s="18">
        <f t="shared" si="1"/>
        <v>0</v>
      </c>
      <c r="M41" s="20">
        <f>G41*INDEX(Employees!$E$2:$E$17,MATCH(B41,Employees!$A$2:$A$17,0))</f>
        <v>127.8</v>
      </c>
    </row>
    <row r="42" spans="1:13" ht="18" x14ac:dyDescent="0.2">
      <c r="A42" s="17">
        <v>928</v>
      </c>
      <c r="B42" s="17">
        <v>29</v>
      </c>
      <c r="C42" s="17" t="s">
        <v>798</v>
      </c>
      <c r="D42" s="17" t="s">
        <v>793</v>
      </c>
      <c r="E42" s="17" t="s">
        <v>796</v>
      </c>
      <c r="F42" s="17">
        <v>205</v>
      </c>
      <c r="G42" s="17">
        <v>8.1</v>
      </c>
      <c r="H42" s="17" t="str">
        <f>INDEX(Employees!$B$2:$B$17,MATCH(B42,Employees!$A$2:$A$17,0))</f>
        <v>Rowan</v>
      </c>
      <c r="I42" s="17" t="str">
        <f>INDEX(Employees!$C$2:$C$17,MATCH(B42,Employees!$A$2:$A$17,0))</f>
        <v>Cycle Counter</v>
      </c>
      <c r="J42" s="25">
        <f t="shared" si="0"/>
        <v>25.308641975308642</v>
      </c>
      <c r="K42" s="19">
        <f>IF(J42=0,0,J42/INDEX('Labor Dashboard'!$C$36:$C$39,MATCH(E42,'Labor Dashboard'!$B$36:$B$39,0)))</f>
        <v>1.0123456790123457</v>
      </c>
      <c r="L42" s="18">
        <f t="shared" si="1"/>
        <v>0</v>
      </c>
      <c r="M42" s="20">
        <f>G42*INDEX(Employees!$E$2:$E$17,MATCH(B42,Employees!$A$2:$A$17,0))</f>
        <v>145.79999999999998</v>
      </c>
    </row>
    <row r="43" spans="1:13" ht="18" x14ac:dyDescent="0.2">
      <c r="A43" s="17">
        <v>929</v>
      </c>
      <c r="B43" s="17">
        <v>30</v>
      </c>
      <c r="C43" s="17" t="s">
        <v>798</v>
      </c>
      <c r="D43" s="17" t="s">
        <v>791</v>
      </c>
      <c r="E43" s="17" t="s">
        <v>792</v>
      </c>
      <c r="F43" s="17">
        <v>287</v>
      </c>
      <c r="G43" s="17">
        <v>6.6</v>
      </c>
      <c r="H43" s="17" t="str">
        <f>INDEX(Employees!$B$2:$B$17,MATCH(B43,Employees!$A$2:$A$17,0))</f>
        <v>Emerson</v>
      </c>
      <c r="I43" s="17" t="str">
        <f>INDEX(Employees!$C$2:$C$17,MATCH(B43,Employees!$A$2:$A$17,0))</f>
        <v>Shift Supervisor</v>
      </c>
      <c r="J43" s="25">
        <f t="shared" si="0"/>
        <v>43.484848484848484</v>
      </c>
      <c r="K43" s="19">
        <f>IF(J43=0,0,J43/INDEX('Labor Dashboard'!$C$36:$C$39,MATCH(E43,'Labor Dashboard'!$B$36:$B$39,0)))</f>
        <v>0.79063360881542699</v>
      </c>
      <c r="L43" s="18">
        <f t="shared" si="1"/>
        <v>0</v>
      </c>
      <c r="M43" s="20">
        <f>G43*INDEX(Employees!$E$2:$E$17,MATCH(B43,Employees!$A$2:$A$17,0))</f>
        <v>158.39999999999998</v>
      </c>
    </row>
    <row r="44" spans="1:13" ht="18" x14ac:dyDescent="0.2">
      <c r="A44" s="17">
        <v>930</v>
      </c>
      <c r="B44" s="17">
        <v>31</v>
      </c>
      <c r="C44" s="17" t="s">
        <v>798</v>
      </c>
      <c r="D44" s="17" t="s">
        <v>791</v>
      </c>
      <c r="E44" s="17" t="s">
        <v>796</v>
      </c>
      <c r="F44" s="17">
        <v>227</v>
      </c>
      <c r="G44" s="17">
        <v>7.8</v>
      </c>
      <c r="H44" s="17" t="str">
        <f>INDEX(Employees!$B$2:$B$17,MATCH(B44,Employees!$A$2:$A$17,0))</f>
        <v>Finley</v>
      </c>
      <c r="I44" s="17" t="str">
        <f>INDEX(Employees!$C$2:$C$17,MATCH(B44,Employees!$A$2:$A$17,0))</f>
        <v>Shift Supervisor</v>
      </c>
      <c r="J44" s="25">
        <f t="shared" si="0"/>
        <v>29.102564102564102</v>
      </c>
      <c r="K44" s="19">
        <f>IF(J44=0,0,J44/INDEX('Labor Dashboard'!$C$36:$C$39,MATCH(E44,'Labor Dashboard'!$B$36:$B$39,0)))</f>
        <v>1.1641025641025642</v>
      </c>
      <c r="L44" s="18">
        <f t="shared" si="1"/>
        <v>0</v>
      </c>
      <c r="M44" s="20">
        <f>G44*INDEX(Employees!$E$2:$E$17,MATCH(B44,Employees!$A$2:$A$17,0))</f>
        <v>187.2</v>
      </c>
    </row>
    <row r="45" spans="1:13" ht="18" x14ac:dyDescent="0.2">
      <c r="A45" s="17">
        <v>931</v>
      </c>
      <c r="B45" s="17">
        <v>32</v>
      </c>
      <c r="C45" s="17" t="s">
        <v>798</v>
      </c>
      <c r="D45" s="17" t="s">
        <v>793</v>
      </c>
      <c r="E45" s="17" t="s">
        <v>794</v>
      </c>
      <c r="F45" s="17">
        <v>305</v>
      </c>
      <c r="G45" s="17">
        <v>7.5</v>
      </c>
      <c r="H45" s="17" t="str">
        <f>INDEX(Employees!$B$2:$B$17,MATCH(B45,Employees!$A$2:$A$17,0))</f>
        <v>Sawyer</v>
      </c>
      <c r="I45" s="17" t="str">
        <f>INDEX(Employees!$C$2:$C$17,MATCH(B45,Employees!$A$2:$A$17,0))</f>
        <v>Shift Supervisor</v>
      </c>
      <c r="J45" s="25">
        <f t="shared" si="0"/>
        <v>40.666666666666664</v>
      </c>
      <c r="K45" s="19">
        <f>IF(J45=0,0,J45/INDEX('Labor Dashboard'!$C$36:$C$39,MATCH(E45,'Labor Dashboard'!$B$36:$B$39,0)))</f>
        <v>0.90370370370370368</v>
      </c>
      <c r="L45" s="18">
        <f t="shared" si="1"/>
        <v>0</v>
      </c>
      <c r="M45" s="20">
        <f>G45*INDEX(Employees!$E$2:$E$17,MATCH(B45,Employees!$A$2:$A$17,0))</f>
        <v>180</v>
      </c>
    </row>
    <row r="46" spans="1:13" ht="18" x14ac:dyDescent="0.2">
      <c r="A46" s="17">
        <v>932</v>
      </c>
      <c r="B46" s="17">
        <v>17</v>
      </c>
      <c r="C46" s="17" t="s">
        <v>799</v>
      </c>
      <c r="D46" s="17" t="s">
        <v>793</v>
      </c>
      <c r="E46" s="17" t="s">
        <v>792</v>
      </c>
      <c r="F46" s="17">
        <v>309</v>
      </c>
      <c r="G46" s="17">
        <v>6.8</v>
      </c>
      <c r="H46" s="17" t="str">
        <f>INDEX(Employees!$B$2:$B$17,MATCH(B46,Employees!$A$2:$A$17,0))</f>
        <v>Jordan</v>
      </c>
      <c r="I46" s="17" t="str">
        <f>INDEX(Employees!$C$2:$C$17,MATCH(B46,Employees!$A$2:$A$17,0))</f>
        <v>Picker</v>
      </c>
      <c r="J46" s="25">
        <f t="shared" si="0"/>
        <v>45.441176470588239</v>
      </c>
      <c r="K46" s="19">
        <f>IF(J46=0,0,J46/INDEX('Labor Dashboard'!$C$36:$C$39,MATCH(E46,'Labor Dashboard'!$B$36:$B$39,0)))</f>
        <v>0.82620320855614982</v>
      </c>
      <c r="L46" s="18">
        <f t="shared" si="1"/>
        <v>0</v>
      </c>
      <c r="M46" s="20">
        <f>G46*INDEX(Employees!$E$2:$E$17,MATCH(B46,Employees!$A$2:$A$17,0))</f>
        <v>115.6</v>
      </c>
    </row>
    <row r="47" spans="1:13" ht="18" x14ac:dyDescent="0.2">
      <c r="A47" s="17">
        <v>933</v>
      </c>
      <c r="B47" s="17">
        <v>19</v>
      </c>
      <c r="C47" s="17" t="s">
        <v>799</v>
      </c>
      <c r="D47" s="17" t="s">
        <v>791</v>
      </c>
      <c r="E47" s="17" t="s">
        <v>792</v>
      </c>
      <c r="F47" s="17">
        <v>371</v>
      </c>
      <c r="G47" s="17">
        <v>6.7</v>
      </c>
      <c r="H47" s="17" t="str">
        <f>INDEX(Employees!$B$2:$B$17,MATCH(B47,Employees!$A$2:$A$17,0))</f>
        <v>Morgan</v>
      </c>
      <c r="I47" s="17" t="str">
        <f>INDEX(Employees!$C$2:$C$17,MATCH(B47,Employees!$A$2:$A$17,0))</f>
        <v>Picker</v>
      </c>
      <c r="J47" s="25">
        <f t="shared" si="0"/>
        <v>55.373134328358205</v>
      </c>
      <c r="K47" s="19">
        <f>IF(J47=0,0,J47/INDEX('Labor Dashboard'!$C$36:$C$39,MATCH(E47,'Labor Dashboard'!$B$36:$B$39,0)))</f>
        <v>1.0067842605156037</v>
      </c>
      <c r="L47" s="18">
        <f t="shared" si="1"/>
        <v>0</v>
      </c>
      <c r="M47" s="20">
        <f>G47*INDEX(Employees!$E$2:$E$17,MATCH(B47,Employees!$A$2:$A$17,0))</f>
        <v>113.9</v>
      </c>
    </row>
    <row r="48" spans="1:13" ht="18" x14ac:dyDescent="0.2">
      <c r="A48" s="17">
        <v>934</v>
      </c>
      <c r="B48" s="17">
        <v>21</v>
      </c>
      <c r="C48" s="17" t="s">
        <v>799</v>
      </c>
      <c r="D48" s="17" t="s">
        <v>793</v>
      </c>
      <c r="E48" s="17" t="s">
        <v>794</v>
      </c>
      <c r="F48" s="17">
        <v>320</v>
      </c>
      <c r="G48" s="17">
        <v>8.5</v>
      </c>
      <c r="H48" s="17" t="str">
        <f>INDEX(Employees!$B$2:$B$17,MATCH(B48,Employees!$A$2:$A$17,0))</f>
        <v>Riley</v>
      </c>
      <c r="I48" s="17" t="str">
        <f>INDEX(Employees!$C$2:$C$17,MATCH(B48,Employees!$A$2:$A$17,0))</f>
        <v>Packer</v>
      </c>
      <c r="J48" s="25">
        <f t="shared" si="0"/>
        <v>37.647058823529413</v>
      </c>
      <c r="K48" s="19">
        <f>IF(J48=0,0,J48/INDEX('Labor Dashboard'!$C$36:$C$39,MATCH(E48,'Labor Dashboard'!$B$36:$B$39,0)))</f>
        <v>0.83660130718954251</v>
      </c>
      <c r="L48" s="18">
        <f t="shared" si="1"/>
        <v>0</v>
      </c>
      <c r="M48" s="20">
        <f>G48*INDEX(Employees!$E$2:$E$17,MATCH(B48,Employees!$A$2:$A$17,0))</f>
        <v>144.5</v>
      </c>
    </row>
    <row r="49" spans="1:13" ht="18" x14ac:dyDescent="0.2">
      <c r="A49" s="17">
        <v>935</v>
      </c>
      <c r="B49" s="17">
        <v>22</v>
      </c>
      <c r="C49" s="17" t="s">
        <v>799</v>
      </c>
      <c r="D49" s="17" t="s">
        <v>793</v>
      </c>
      <c r="E49" s="17" t="s">
        <v>794</v>
      </c>
      <c r="F49" s="17">
        <v>402</v>
      </c>
      <c r="G49" s="17">
        <v>7.8</v>
      </c>
      <c r="H49" s="17" t="str">
        <f>INDEX(Employees!$B$2:$B$17,MATCH(B49,Employees!$A$2:$A$17,0))</f>
        <v>Avery</v>
      </c>
      <c r="I49" s="17" t="str">
        <f>INDEX(Employees!$C$2:$C$17,MATCH(B49,Employees!$A$2:$A$17,0))</f>
        <v>Packer</v>
      </c>
      <c r="J49" s="25">
        <f t="shared" si="0"/>
        <v>51.53846153846154</v>
      </c>
      <c r="K49" s="19">
        <f>IF(J49=0,0,J49/INDEX('Labor Dashboard'!$C$36:$C$39,MATCH(E49,'Labor Dashboard'!$B$36:$B$39,0)))</f>
        <v>1.1452991452991452</v>
      </c>
      <c r="L49" s="18">
        <f t="shared" si="1"/>
        <v>0</v>
      </c>
      <c r="M49" s="20">
        <f>G49*INDEX(Employees!$E$2:$E$17,MATCH(B49,Employees!$A$2:$A$17,0))</f>
        <v>132.6</v>
      </c>
    </row>
    <row r="50" spans="1:13" ht="18" x14ac:dyDescent="0.2">
      <c r="A50" s="17">
        <v>936</v>
      </c>
      <c r="B50" s="17">
        <v>23</v>
      </c>
      <c r="C50" s="17" t="s">
        <v>799</v>
      </c>
      <c r="D50" s="17" t="s">
        <v>791</v>
      </c>
      <c r="E50" s="17" t="s">
        <v>794</v>
      </c>
      <c r="F50" s="17">
        <v>408</v>
      </c>
      <c r="G50" s="17">
        <v>7.5</v>
      </c>
      <c r="H50" s="17" t="str">
        <f>INDEX(Employees!$B$2:$B$17,MATCH(B50,Employees!$A$2:$A$17,0))</f>
        <v>Cameron</v>
      </c>
      <c r="I50" s="17" t="str">
        <f>INDEX(Employees!$C$2:$C$17,MATCH(B50,Employees!$A$2:$A$17,0))</f>
        <v>Packer</v>
      </c>
      <c r="J50" s="25">
        <f t="shared" si="0"/>
        <v>54.4</v>
      </c>
      <c r="K50" s="19">
        <f>IF(J50=0,0,J50/INDEX('Labor Dashboard'!$C$36:$C$39,MATCH(E50,'Labor Dashboard'!$B$36:$B$39,0)))</f>
        <v>1.2088888888888889</v>
      </c>
      <c r="L50" s="18">
        <f t="shared" si="1"/>
        <v>0</v>
      </c>
      <c r="M50" s="20">
        <f>G50*INDEX(Employees!$E$2:$E$17,MATCH(B50,Employees!$A$2:$A$17,0))</f>
        <v>127.5</v>
      </c>
    </row>
    <row r="51" spans="1:13" ht="18" x14ac:dyDescent="0.2">
      <c r="A51" s="17">
        <v>937</v>
      </c>
      <c r="B51" s="17">
        <v>26</v>
      </c>
      <c r="C51" s="17" t="s">
        <v>799</v>
      </c>
      <c r="D51" s="17" t="s">
        <v>791</v>
      </c>
      <c r="E51" s="17" t="s">
        <v>795</v>
      </c>
      <c r="F51" s="17">
        <v>200</v>
      </c>
      <c r="G51" s="17">
        <v>7.9</v>
      </c>
      <c r="H51" s="17" t="str">
        <f>INDEX(Employees!$B$2:$B$17,MATCH(B51,Employees!$A$2:$A$17,0))</f>
        <v>Reese</v>
      </c>
      <c r="I51" s="17" t="str">
        <f>INDEX(Employees!$C$2:$C$17,MATCH(B51,Employees!$A$2:$A$17,0))</f>
        <v>Receiving Clerk</v>
      </c>
      <c r="J51" s="25">
        <f t="shared" si="0"/>
        <v>25.316455696202532</v>
      </c>
      <c r="K51" s="19">
        <f>IF(J51=0,0,J51/INDEX('Labor Dashboard'!$C$36:$C$39,MATCH(E51,'Labor Dashboard'!$B$36:$B$39,0)))</f>
        <v>0.84388185654008441</v>
      </c>
      <c r="L51" s="18">
        <f t="shared" si="1"/>
        <v>0</v>
      </c>
      <c r="M51" s="20">
        <f>G51*INDEX(Employees!$E$2:$E$17,MATCH(B51,Employees!$A$2:$A$17,0))</f>
        <v>142.20000000000002</v>
      </c>
    </row>
    <row r="52" spans="1:13" ht="18" x14ac:dyDescent="0.2">
      <c r="A52" s="17">
        <v>938</v>
      </c>
      <c r="B52" s="17">
        <v>27</v>
      </c>
      <c r="C52" s="17" t="s">
        <v>799</v>
      </c>
      <c r="D52" s="17" t="s">
        <v>793</v>
      </c>
      <c r="E52" s="17" t="s">
        <v>795</v>
      </c>
      <c r="F52" s="17">
        <v>188</v>
      </c>
      <c r="G52" s="17">
        <v>7.4</v>
      </c>
      <c r="H52" s="17" t="str">
        <f>INDEX(Employees!$B$2:$B$17,MATCH(B52,Employees!$A$2:$A$17,0))</f>
        <v>Skyler</v>
      </c>
      <c r="I52" s="17" t="str">
        <f>INDEX(Employees!$C$2:$C$17,MATCH(B52,Employees!$A$2:$A$17,0))</f>
        <v>Receiving Clerk</v>
      </c>
      <c r="J52" s="25">
        <f t="shared" si="0"/>
        <v>25.405405405405403</v>
      </c>
      <c r="K52" s="19">
        <f>IF(J52=0,0,J52/INDEX('Labor Dashboard'!$C$36:$C$39,MATCH(E52,'Labor Dashboard'!$B$36:$B$39,0)))</f>
        <v>0.84684684684684675</v>
      </c>
      <c r="L52" s="18">
        <f t="shared" si="1"/>
        <v>0</v>
      </c>
      <c r="M52" s="20">
        <f>G52*INDEX(Employees!$E$2:$E$17,MATCH(B52,Employees!$A$2:$A$17,0))</f>
        <v>133.20000000000002</v>
      </c>
    </row>
    <row r="53" spans="1:13" ht="18" x14ac:dyDescent="0.2">
      <c r="A53" s="17">
        <v>939</v>
      </c>
      <c r="B53" s="17">
        <v>28</v>
      </c>
      <c r="C53" s="17" t="s">
        <v>799</v>
      </c>
      <c r="D53" s="17" t="s">
        <v>793</v>
      </c>
      <c r="E53" s="17" t="s">
        <v>796</v>
      </c>
      <c r="F53" s="17">
        <v>175</v>
      </c>
      <c r="G53" s="17">
        <v>6.7</v>
      </c>
      <c r="H53" s="17" t="str">
        <f>INDEX(Employees!$B$2:$B$17,MATCH(B53,Employees!$A$2:$A$17,0))</f>
        <v>Peyton</v>
      </c>
      <c r="I53" s="17" t="str">
        <f>INDEX(Employees!$C$2:$C$17,MATCH(B53,Employees!$A$2:$A$17,0))</f>
        <v>Cycle Counter</v>
      </c>
      <c r="J53" s="25">
        <f t="shared" si="0"/>
        <v>26.119402985074625</v>
      </c>
      <c r="K53" s="19">
        <f>IF(J53=0,0,J53/INDEX('Labor Dashboard'!$C$36:$C$39,MATCH(E53,'Labor Dashboard'!$B$36:$B$39,0)))</f>
        <v>1.044776119402985</v>
      </c>
      <c r="L53" s="18">
        <f t="shared" si="1"/>
        <v>0</v>
      </c>
      <c r="M53" s="20">
        <f>G53*INDEX(Employees!$E$2:$E$17,MATCH(B53,Employees!$A$2:$A$17,0))</f>
        <v>120.60000000000001</v>
      </c>
    </row>
    <row r="54" spans="1:13" ht="18" x14ac:dyDescent="0.2">
      <c r="A54" s="17">
        <v>940</v>
      </c>
      <c r="B54" s="17">
        <v>29</v>
      </c>
      <c r="C54" s="17" t="s">
        <v>799</v>
      </c>
      <c r="D54" s="17" t="s">
        <v>793</v>
      </c>
      <c r="E54" s="17" t="s">
        <v>796</v>
      </c>
      <c r="F54" s="17">
        <v>168</v>
      </c>
      <c r="G54" s="17">
        <v>6.5</v>
      </c>
      <c r="H54" s="17" t="str">
        <f>INDEX(Employees!$B$2:$B$17,MATCH(B54,Employees!$A$2:$A$17,0))</f>
        <v>Rowan</v>
      </c>
      <c r="I54" s="17" t="str">
        <f>INDEX(Employees!$C$2:$C$17,MATCH(B54,Employees!$A$2:$A$17,0))</f>
        <v>Cycle Counter</v>
      </c>
      <c r="J54" s="25">
        <f t="shared" si="0"/>
        <v>25.846153846153847</v>
      </c>
      <c r="K54" s="19">
        <f>IF(J54=0,0,J54/INDEX('Labor Dashboard'!$C$36:$C$39,MATCH(E54,'Labor Dashboard'!$B$36:$B$39,0)))</f>
        <v>1.0338461538461539</v>
      </c>
      <c r="L54" s="18">
        <f t="shared" si="1"/>
        <v>0</v>
      </c>
      <c r="M54" s="20">
        <f>G54*INDEX(Employees!$E$2:$E$17,MATCH(B54,Employees!$A$2:$A$17,0))</f>
        <v>117</v>
      </c>
    </row>
    <row r="55" spans="1:13" ht="18" x14ac:dyDescent="0.2">
      <c r="A55" s="17">
        <v>941</v>
      </c>
      <c r="B55" s="17">
        <v>30</v>
      </c>
      <c r="C55" s="17" t="s">
        <v>799</v>
      </c>
      <c r="D55" s="17" t="s">
        <v>793</v>
      </c>
      <c r="E55" s="17" t="s">
        <v>796</v>
      </c>
      <c r="F55" s="17">
        <v>133</v>
      </c>
      <c r="G55" s="17">
        <v>7</v>
      </c>
      <c r="H55" s="17" t="str">
        <f>INDEX(Employees!$B$2:$B$17,MATCH(B55,Employees!$A$2:$A$17,0))</f>
        <v>Emerson</v>
      </c>
      <c r="I55" s="17" t="str">
        <f>INDEX(Employees!$C$2:$C$17,MATCH(B55,Employees!$A$2:$A$17,0))</f>
        <v>Shift Supervisor</v>
      </c>
      <c r="J55" s="25">
        <f t="shared" si="0"/>
        <v>19</v>
      </c>
      <c r="K55" s="19">
        <f>IF(J55=0,0,J55/INDEX('Labor Dashboard'!$C$36:$C$39,MATCH(E55,'Labor Dashboard'!$B$36:$B$39,0)))</f>
        <v>0.76</v>
      </c>
      <c r="L55" s="18">
        <f t="shared" si="1"/>
        <v>0</v>
      </c>
      <c r="M55" s="20">
        <f>G55*INDEX(Employees!$E$2:$E$17,MATCH(B55,Employees!$A$2:$A$17,0))</f>
        <v>168</v>
      </c>
    </row>
    <row r="56" spans="1:13" ht="18" x14ac:dyDescent="0.2">
      <c r="A56" s="17">
        <v>942</v>
      </c>
      <c r="B56" s="17">
        <v>31</v>
      </c>
      <c r="C56" s="17" t="s">
        <v>799</v>
      </c>
      <c r="D56" s="17" t="s">
        <v>791</v>
      </c>
      <c r="E56" s="17" t="s">
        <v>795</v>
      </c>
      <c r="F56" s="17">
        <v>223</v>
      </c>
      <c r="G56" s="17">
        <v>6.9</v>
      </c>
      <c r="H56" s="17" t="str">
        <f>INDEX(Employees!$B$2:$B$17,MATCH(B56,Employees!$A$2:$A$17,0))</f>
        <v>Finley</v>
      </c>
      <c r="I56" s="17" t="str">
        <f>INDEX(Employees!$C$2:$C$17,MATCH(B56,Employees!$A$2:$A$17,0))</f>
        <v>Shift Supervisor</v>
      </c>
      <c r="J56" s="25">
        <f t="shared" si="0"/>
        <v>32.318840579710141</v>
      </c>
      <c r="K56" s="19">
        <f>IF(J56=0,0,J56/INDEX('Labor Dashboard'!$C$36:$C$39,MATCH(E56,'Labor Dashboard'!$B$36:$B$39,0)))</f>
        <v>1.0772946859903381</v>
      </c>
      <c r="L56" s="18">
        <f t="shared" si="1"/>
        <v>0</v>
      </c>
      <c r="M56" s="20">
        <f>G56*INDEX(Employees!$E$2:$E$17,MATCH(B56,Employees!$A$2:$A$17,0))</f>
        <v>165.60000000000002</v>
      </c>
    </row>
    <row r="57" spans="1:13" ht="18" x14ac:dyDescent="0.2">
      <c r="A57" s="17">
        <v>943</v>
      </c>
      <c r="B57" s="17">
        <v>32</v>
      </c>
      <c r="C57" s="17" t="s">
        <v>799</v>
      </c>
      <c r="D57" s="17" t="s">
        <v>791</v>
      </c>
      <c r="E57" s="17" t="s">
        <v>794</v>
      </c>
      <c r="F57" s="17">
        <v>334</v>
      </c>
      <c r="G57" s="17">
        <v>7.6</v>
      </c>
      <c r="H57" s="17" t="str">
        <f>INDEX(Employees!$B$2:$B$17,MATCH(B57,Employees!$A$2:$A$17,0))</f>
        <v>Sawyer</v>
      </c>
      <c r="I57" s="17" t="str">
        <f>INDEX(Employees!$C$2:$C$17,MATCH(B57,Employees!$A$2:$A$17,0))</f>
        <v>Shift Supervisor</v>
      </c>
      <c r="J57" s="25">
        <f t="shared" si="0"/>
        <v>43.94736842105263</v>
      </c>
      <c r="K57" s="19">
        <f>IF(J57=0,0,J57/INDEX('Labor Dashboard'!$C$36:$C$39,MATCH(E57,'Labor Dashboard'!$B$36:$B$39,0)))</f>
        <v>0.97660818713450293</v>
      </c>
      <c r="L57" s="18">
        <f t="shared" si="1"/>
        <v>0</v>
      </c>
      <c r="M57" s="20">
        <f>G57*INDEX(Employees!$E$2:$E$17,MATCH(B57,Employees!$A$2:$A$17,0))</f>
        <v>182.39999999999998</v>
      </c>
    </row>
    <row r="58" spans="1:13" ht="18" x14ac:dyDescent="0.2">
      <c r="A58" s="17">
        <v>944</v>
      </c>
      <c r="B58" s="17">
        <v>17</v>
      </c>
      <c r="C58" s="17" t="s">
        <v>800</v>
      </c>
      <c r="D58" s="17" t="s">
        <v>791</v>
      </c>
      <c r="E58" s="17" t="s">
        <v>792</v>
      </c>
      <c r="F58" s="17">
        <v>327</v>
      </c>
      <c r="G58" s="17">
        <v>6.9</v>
      </c>
      <c r="H58" s="17" t="str">
        <f>INDEX(Employees!$B$2:$B$17,MATCH(B58,Employees!$A$2:$A$17,0))</f>
        <v>Jordan</v>
      </c>
      <c r="I58" s="17" t="str">
        <f>INDEX(Employees!$C$2:$C$17,MATCH(B58,Employees!$A$2:$A$17,0))</f>
        <v>Picker</v>
      </c>
      <c r="J58" s="25">
        <f t="shared" si="0"/>
        <v>47.391304347826086</v>
      </c>
      <c r="K58" s="19">
        <f>IF(J58=0,0,J58/INDEX('Labor Dashboard'!$C$36:$C$39,MATCH(E58,'Labor Dashboard'!$B$36:$B$39,0)))</f>
        <v>0.86166007905138342</v>
      </c>
      <c r="L58" s="18">
        <f t="shared" si="1"/>
        <v>0</v>
      </c>
      <c r="M58" s="20">
        <f>G58*INDEX(Employees!$E$2:$E$17,MATCH(B58,Employees!$A$2:$A$17,0))</f>
        <v>117.30000000000001</v>
      </c>
    </row>
    <row r="59" spans="1:13" ht="18" x14ac:dyDescent="0.2">
      <c r="A59" s="17">
        <v>945</v>
      </c>
      <c r="B59" s="17">
        <v>18</v>
      </c>
      <c r="C59" s="17" t="s">
        <v>800</v>
      </c>
      <c r="D59" s="17" t="s">
        <v>791</v>
      </c>
      <c r="E59" s="17" t="s">
        <v>792</v>
      </c>
      <c r="F59" s="17">
        <v>441</v>
      </c>
      <c r="G59" s="17">
        <v>8.3000000000000007</v>
      </c>
      <c r="H59" s="17" t="str">
        <f>INDEX(Employees!$B$2:$B$17,MATCH(B59,Employees!$A$2:$A$17,0))</f>
        <v>Casey</v>
      </c>
      <c r="I59" s="17" t="str">
        <f>INDEX(Employees!$C$2:$C$17,MATCH(B59,Employees!$A$2:$A$17,0))</f>
        <v>Picker</v>
      </c>
      <c r="J59" s="25">
        <f t="shared" si="0"/>
        <v>53.132530120481924</v>
      </c>
      <c r="K59" s="19">
        <f>IF(J59=0,0,J59/INDEX('Labor Dashboard'!$C$36:$C$39,MATCH(E59,'Labor Dashboard'!$B$36:$B$39,0)))</f>
        <v>0.96604600219058046</v>
      </c>
      <c r="L59" s="18">
        <f t="shared" si="1"/>
        <v>0</v>
      </c>
      <c r="M59" s="20">
        <f>G59*INDEX(Employees!$E$2:$E$17,MATCH(B59,Employees!$A$2:$A$17,0))</f>
        <v>141.10000000000002</v>
      </c>
    </row>
    <row r="60" spans="1:13" ht="18" x14ac:dyDescent="0.2">
      <c r="A60" s="17">
        <v>946</v>
      </c>
      <c r="B60" s="17">
        <v>19</v>
      </c>
      <c r="C60" s="17" t="s">
        <v>800</v>
      </c>
      <c r="D60" s="17" t="s">
        <v>791</v>
      </c>
      <c r="E60" s="17" t="s">
        <v>792</v>
      </c>
      <c r="F60" s="17">
        <v>502</v>
      </c>
      <c r="G60" s="17">
        <v>8.3000000000000007</v>
      </c>
      <c r="H60" s="17" t="str">
        <f>INDEX(Employees!$B$2:$B$17,MATCH(B60,Employees!$A$2:$A$17,0))</f>
        <v>Morgan</v>
      </c>
      <c r="I60" s="17" t="str">
        <f>INDEX(Employees!$C$2:$C$17,MATCH(B60,Employees!$A$2:$A$17,0))</f>
        <v>Picker</v>
      </c>
      <c r="J60" s="25">
        <f t="shared" si="0"/>
        <v>60.481927710843365</v>
      </c>
      <c r="K60" s="19">
        <f>IF(J60=0,0,J60/INDEX('Labor Dashboard'!$C$36:$C$39,MATCH(E60,'Labor Dashboard'!$B$36:$B$39,0)))</f>
        <v>1.0996714129244247</v>
      </c>
      <c r="L60" s="18">
        <f t="shared" si="1"/>
        <v>0</v>
      </c>
      <c r="M60" s="20">
        <f>G60*INDEX(Employees!$E$2:$E$17,MATCH(B60,Employees!$A$2:$A$17,0))</f>
        <v>141.10000000000002</v>
      </c>
    </row>
    <row r="61" spans="1:13" ht="18" x14ac:dyDescent="0.2">
      <c r="A61" s="17">
        <v>947</v>
      </c>
      <c r="B61" s="17">
        <v>20</v>
      </c>
      <c r="C61" s="17" t="s">
        <v>800</v>
      </c>
      <c r="D61" s="17" t="s">
        <v>791</v>
      </c>
      <c r="E61" s="17" t="s">
        <v>792</v>
      </c>
      <c r="F61" s="17">
        <v>383</v>
      </c>
      <c r="G61" s="17">
        <v>6.6</v>
      </c>
      <c r="H61" s="17" t="str">
        <f>INDEX(Employees!$B$2:$B$17,MATCH(B61,Employees!$A$2:$A$17,0))</f>
        <v>Taylor</v>
      </c>
      <c r="I61" s="17" t="str">
        <f>INDEX(Employees!$C$2:$C$17,MATCH(B61,Employees!$A$2:$A$17,0))</f>
        <v>Picker</v>
      </c>
      <c r="J61" s="25">
        <f t="shared" si="0"/>
        <v>58.030303030303031</v>
      </c>
      <c r="K61" s="19">
        <f>IF(J61=0,0,J61/INDEX('Labor Dashboard'!$C$36:$C$39,MATCH(E61,'Labor Dashboard'!$B$36:$B$39,0)))</f>
        <v>1.0550964187327825</v>
      </c>
      <c r="L61" s="18">
        <f t="shared" si="1"/>
        <v>0</v>
      </c>
      <c r="M61" s="20">
        <f>G61*INDEX(Employees!$E$2:$E$17,MATCH(B61,Employees!$A$2:$A$17,0))</f>
        <v>112.19999999999999</v>
      </c>
    </row>
    <row r="62" spans="1:13" ht="18" x14ac:dyDescent="0.2">
      <c r="A62" s="17">
        <v>948</v>
      </c>
      <c r="B62" s="17">
        <v>21</v>
      </c>
      <c r="C62" s="17" t="s">
        <v>800</v>
      </c>
      <c r="D62" s="17" t="s">
        <v>793</v>
      </c>
      <c r="E62" s="17" t="s">
        <v>794</v>
      </c>
      <c r="F62" s="17">
        <v>330</v>
      </c>
      <c r="G62" s="17">
        <v>7.9</v>
      </c>
      <c r="H62" s="17" t="str">
        <f>INDEX(Employees!$B$2:$B$17,MATCH(B62,Employees!$A$2:$A$17,0))</f>
        <v>Riley</v>
      </c>
      <c r="I62" s="17" t="str">
        <f>INDEX(Employees!$C$2:$C$17,MATCH(B62,Employees!$A$2:$A$17,0))</f>
        <v>Packer</v>
      </c>
      <c r="J62" s="25">
        <f t="shared" si="0"/>
        <v>41.772151898734172</v>
      </c>
      <c r="K62" s="19">
        <f>IF(J62=0,0,J62/INDEX('Labor Dashboard'!$C$36:$C$39,MATCH(E62,'Labor Dashboard'!$B$36:$B$39,0)))</f>
        <v>0.9282700421940927</v>
      </c>
      <c r="L62" s="18">
        <f t="shared" si="1"/>
        <v>0</v>
      </c>
      <c r="M62" s="20">
        <f>G62*INDEX(Employees!$E$2:$E$17,MATCH(B62,Employees!$A$2:$A$17,0))</f>
        <v>134.30000000000001</v>
      </c>
    </row>
    <row r="63" spans="1:13" ht="18" x14ac:dyDescent="0.2">
      <c r="A63" s="17">
        <v>949</v>
      </c>
      <c r="B63" s="17">
        <v>22</v>
      </c>
      <c r="C63" s="17" t="s">
        <v>800</v>
      </c>
      <c r="D63" s="17" t="s">
        <v>791</v>
      </c>
      <c r="E63" s="17" t="s">
        <v>794</v>
      </c>
      <c r="F63" s="17">
        <v>363</v>
      </c>
      <c r="G63" s="17">
        <v>7.1</v>
      </c>
      <c r="H63" s="17" t="str">
        <f>INDEX(Employees!$B$2:$B$17,MATCH(B63,Employees!$A$2:$A$17,0))</f>
        <v>Avery</v>
      </c>
      <c r="I63" s="17" t="str">
        <f>INDEX(Employees!$C$2:$C$17,MATCH(B63,Employees!$A$2:$A$17,0))</f>
        <v>Packer</v>
      </c>
      <c r="J63" s="25">
        <f t="shared" si="0"/>
        <v>51.126760563380287</v>
      </c>
      <c r="K63" s="19">
        <f>IF(J63=0,0,J63/INDEX('Labor Dashboard'!$C$36:$C$39,MATCH(E63,'Labor Dashboard'!$B$36:$B$39,0)))</f>
        <v>1.1361502347417842</v>
      </c>
      <c r="L63" s="18">
        <f t="shared" si="1"/>
        <v>0</v>
      </c>
      <c r="M63" s="20">
        <f>G63*INDEX(Employees!$E$2:$E$17,MATCH(B63,Employees!$A$2:$A$17,0))</f>
        <v>120.69999999999999</v>
      </c>
    </row>
    <row r="64" spans="1:13" ht="18" x14ac:dyDescent="0.2">
      <c r="A64" s="17">
        <v>950</v>
      </c>
      <c r="B64" s="17">
        <v>23</v>
      </c>
      <c r="C64" s="17" t="s">
        <v>800</v>
      </c>
      <c r="D64" s="17" t="s">
        <v>791</v>
      </c>
      <c r="E64" s="17" t="s">
        <v>794</v>
      </c>
      <c r="F64" s="17">
        <v>317</v>
      </c>
      <c r="G64" s="17">
        <v>6.9</v>
      </c>
      <c r="H64" s="17" t="str">
        <f>INDEX(Employees!$B$2:$B$17,MATCH(B64,Employees!$A$2:$A$17,0))</f>
        <v>Cameron</v>
      </c>
      <c r="I64" s="17" t="str">
        <f>INDEX(Employees!$C$2:$C$17,MATCH(B64,Employees!$A$2:$A$17,0))</f>
        <v>Packer</v>
      </c>
      <c r="J64" s="25">
        <f t="shared" si="0"/>
        <v>45.942028985507243</v>
      </c>
      <c r="K64" s="19">
        <f>IF(J64=0,0,J64/INDEX('Labor Dashboard'!$C$36:$C$39,MATCH(E64,'Labor Dashboard'!$B$36:$B$39,0)))</f>
        <v>1.0209339774557165</v>
      </c>
      <c r="L64" s="18">
        <f t="shared" si="1"/>
        <v>0</v>
      </c>
      <c r="M64" s="20">
        <f>G64*INDEX(Employees!$E$2:$E$17,MATCH(B64,Employees!$A$2:$A$17,0))</f>
        <v>117.30000000000001</v>
      </c>
    </row>
    <row r="65" spans="1:13" ht="18" x14ac:dyDescent="0.2">
      <c r="A65" s="17">
        <v>951</v>
      </c>
      <c r="B65" s="17">
        <v>24</v>
      </c>
      <c r="C65" s="17" t="s">
        <v>800</v>
      </c>
      <c r="D65" s="17" t="s">
        <v>793</v>
      </c>
      <c r="E65" s="17" t="s">
        <v>792</v>
      </c>
      <c r="F65" s="17">
        <v>371</v>
      </c>
      <c r="G65" s="17">
        <v>7.2</v>
      </c>
      <c r="H65" s="17" t="str">
        <f>INDEX(Employees!$B$2:$B$17,MATCH(B65,Employees!$A$2:$A$17,0))</f>
        <v>Dakota</v>
      </c>
      <c r="I65" s="17" t="str">
        <f>INDEX(Employees!$C$2:$C$17,MATCH(B65,Employees!$A$2:$A$17,0))</f>
        <v>Forklift Operator</v>
      </c>
      <c r="J65" s="25">
        <f t="shared" si="0"/>
        <v>51.527777777777779</v>
      </c>
      <c r="K65" s="19">
        <f>IF(J65=0,0,J65/INDEX('Labor Dashboard'!$C$36:$C$39,MATCH(E65,'Labor Dashboard'!$B$36:$B$39,0)))</f>
        <v>0.93686868686868685</v>
      </c>
      <c r="L65" s="18">
        <f t="shared" si="1"/>
        <v>0</v>
      </c>
      <c r="M65" s="20">
        <f>G65*INDEX(Employees!$E$2:$E$17,MATCH(B65,Employees!$A$2:$A$17,0))</f>
        <v>140.4</v>
      </c>
    </row>
    <row r="66" spans="1:13" ht="18" x14ac:dyDescent="0.2">
      <c r="A66" s="17">
        <v>952</v>
      </c>
      <c r="B66" s="17">
        <v>25</v>
      </c>
      <c r="C66" s="17" t="s">
        <v>800</v>
      </c>
      <c r="D66" s="17" t="s">
        <v>793</v>
      </c>
      <c r="E66" s="17" t="s">
        <v>792</v>
      </c>
      <c r="F66" s="17">
        <v>345</v>
      </c>
      <c r="G66" s="17">
        <v>6.8</v>
      </c>
      <c r="H66" s="17" t="str">
        <f>INDEX(Employees!$B$2:$B$17,MATCH(B66,Employees!$A$2:$A$17,0))</f>
        <v>Hayden</v>
      </c>
      <c r="I66" s="17" t="str">
        <f>INDEX(Employees!$C$2:$C$17,MATCH(B66,Employees!$A$2:$A$17,0))</f>
        <v>Forklift Operator</v>
      </c>
      <c r="J66" s="25">
        <f t="shared" ref="J66:J129" si="2">IF(G66=0,0,F66/G66)</f>
        <v>50.735294117647058</v>
      </c>
      <c r="K66" s="19">
        <f>IF(J66=0,0,J66/INDEX('Labor Dashboard'!$C$36:$C$39,MATCH(E66,'Labor Dashboard'!$B$36:$B$39,0)))</f>
        <v>0.92245989304812837</v>
      </c>
      <c r="L66" s="18">
        <f t="shared" ref="L66:L129" si="3">INT((DATEVALUE(C66)-DATE(2026,4,6))/7)</f>
        <v>0</v>
      </c>
      <c r="M66" s="20">
        <f>G66*INDEX(Employees!$E$2:$E$17,MATCH(B66,Employees!$A$2:$A$17,0))</f>
        <v>132.6</v>
      </c>
    </row>
    <row r="67" spans="1:13" ht="18" x14ac:dyDescent="0.2">
      <c r="A67" s="17">
        <v>953</v>
      </c>
      <c r="B67" s="17">
        <v>27</v>
      </c>
      <c r="C67" s="17" t="s">
        <v>800</v>
      </c>
      <c r="D67" s="17" t="s">
        <v>793</v>
      </c>
      <c r="E67" s="17" t="s">
        <v>795</v>
      </c>
      <c r="F67" s="17">
        <v>203</v>
      </c>
      <c r="G67" s="17">
        <v>7.9</v>
      </c>
      <c r="H67" s="17" t="str">
        <f>INDEX(Employees!$B$2:$B$17,MATCH(B67,Employees!$A$2:$A$17,0))</f>
        <v>Skyler</v>
      </c>
      <c r="I67" s="17" t="str">
        <f>INDEX(Employees!$C$2:$C$17,MATCH(B67,Employees!$A$2:$A$17,0))</f>
        <v>Receiving Clerk</v>
      </c>
      <c r="J67" s="25">
        <f t="shared" si="2"/>
        <v>25.696202531645568</v>
      </c>
      <c r="K67" s="19">
        <f>IF(J67=0,0,J67/INDEX('Labor Dashboard'!$C$36:$C$39,MATCH(E67,'Labor Dashboard'!$B$36:$B$39,0)))</f>
        <v>0.85654008438818563</v>
      </c>
      <c r="L67" s="18">
        <f t="shared" si="3"/>
        <v>0</v>
      </c>
      <c r="M67" s="20">
        <f>G67*INDEX(Employees!$E$2:$E$17,MATCH(B67,Employees!$A$2:$A$17,0))</f>
        <v>142.20000000000002</v>
      </c>
    </row>
    <row r="68" spans="1:13" ht="18" x14ac:dyDescent="0.2">
      <c r="A68" s="17">
        <v>954</v>
      </c>
      <c r="B68" s="17">
        <v>28</v>
      </c>
      <c r="C68" s="17" t="s">
        <v>800</v>
      </c>
      <c r="D68" s="17" t="s">
        <v>791</v>
      </c>
      <c r="E68" s="17" t="s">
        <v>796</v>
      </c>
      <c r="F68" s="17">
        <v>184</v>
      </c>
      <c r="G68" s="17">
        <v>8.1999999999999993</v>
      </c>
      <c r="H68" s="17" t="str">
        <f>INDEX(Employees!$B$2:$B$17,MATCH(B68,Employees!$A$2:$A$17,0))</f>
        <v>Peyton</v>
      </c>
      <c r="I68" s="17" t="str">
        <f>INDEX(Employees!$C$2:$C$17,MATCH(B68,Employees!$A$2:$A$17,0))</f>
        <v>Cycle Counter</v>
      </c>
      <c r="J68" s="25">
        <f t="shared" si="2"/>
        <v>22.439024390243905</v>
      </c>
      <c r="K68" s="19">
        <f>IF(J68=0,0,J68/INDEX('Labor Dashboard'!$C$36:$C$39,MATCH(E68,'Labor Dashboard'!$B$36:$B$39,0)))</f>
        <v>0.89756097560975623</v>
      </c>
      <c r="L68" s="18">
        <f t="shared" si="3"/>
        <v>0</v>
      </c>
      <c r="M68" s="20">
        <f>G68*INDEX(Employees!$E$2:$E$17,MATCH(B68,Employees!$A$2:$A$17,0))</f>
        <v>147.6</v>
      </c>
    </row>
    <row r="69" spans="1:13" ht="18" x14ac:dyDescent="0.2">
      <c r="A69" s="17">
        <v>955</v>
      </c>
      <c r="B69" s="17">
        <v>29</v>
      </c>
      <c r="C69" s="17" t="s">
        <v>800</v>
      </c>
      <c r="D69" s="17" t="s">
        <v>793</v>
      </c>
      <c r="E69" s="17" t="s">
        <v>796</v>
      </c>
      <c r="F69" s="17">
        <v>163</v>
      </c>
      <c r="G69" s="17">
        <v>6.5</v>
      </c>
      <c r="H69" s="17" t="str">
        <f>INDEX(Employees!$B$2:$B$17,MATCH(B69,Employees!$A$2:$A$17,0))</f>
        <v>Rowan</v>
      </c>
      <c r="I69" s="17" t="str">
        <f>INDEX(Employees!$C$2:$C$17,MATCH(B69,Employees!$A$2:$A$17,0))</f>
        <v>Cycle Counter</v>
      </c>
      <c r="J69" s="25">
        <f t="shared" si="2"/>
        <v>25.076923076923077</v>
      </c>
      <c r="K69" s="19">
        <f>IF(J69=0,0,J69/INDEX('Labor Dashboard'!$C$36:$C$39,MATCH(E69,'Labor Dashboard'!$B$36:$B$39,0)))</f>
        <v>1.003076923076923</v>
      </c>
      <c r="L69" s="18">
        <f t="shared" si="3"/>
        <v>0</v>
      </c>
      <c r="M69" s="20">
        <f>G69*INDEX(Employees!$E$2:$E$17,MATCH(B69,Employees!$A$2:$A$17,0))</f>
        <v>117</v>
      </c>
    </row>
    <row r="70" spans="1:13" ht="18" x14ac:dyDescent="0.2">
      <c r="A70" s="17">
        <v>956</v>
      </c>
      <c r="B70" s="17">
        <v>30</v>
      </c>
      <c r="C70" s="17" t="s">
        <v>800</v>
      </c>
      <c r="D70" s="17" t="s">
        <v>793</v>
      </c>
      <c r="E70" s="17" t="s">
        <v>792</v>
      </c>
      <c r="F70" s="17">
        <v>400</v>
      </c>
      <c r="G70" s="17">
        <v>8.3000000000000007</v>
      </c>
      <c r="H70" s="17" t="str">
        <f>INDEX(Employees!$B$2:$B$17,MATCH(B70,Employees!$A$2:$A$17,0))</f>
        <v>Emerson</v>
      </c>
      <c r="I70" s="17" t="str">
        <f>INDEX(Employees!$C$2:$C$17,MATCH(B70,Employees!$A$2:$A$17,0))</f>
        <v>Shift Supervisor</v>
      </c>
      <c r="J70" s="25">
        <f t="shared" si="2"/>
        <v>48.192771084337345</v>
      </c>
      <c r="K70" s="19">
        <f>IF(J70=0,0,J70/INDEX('Labor Dashboard'!$C$36:$C$39,MATCH(E70,'Labor Dashboard'!$B$36:$B$39,0)))</f>
        <v>0.87623220153340631</v>
      </c>
      <c r="L70" s="18">
        <f t="shared" si="3"/>
        <v>0</v>
      </c>
      <c r="M70" s="20">
        <f>G70*INDEX(Employees!$E$2:$E$17,MATCH(B70,Employees!$A$2:$A$17,0))</f>
        <v>199.20000000000002</v>
      </c>
    </row>
    <row r="71" spans="1:13" ht="18" x14ac:dyDescent="0.2">
      <c r="A71" s="17">
        <v>957</v>
      </c>
      <c r="B71" s="17">
        <v>31</v>
      </c>
      <c r="C71" s="17" t="s">
        <v>800</v>
      </c>
      <c r="D71" s="17" t="s">
        <v>791</v>
      </c>
      <c r="E71" s="17" t="s">
        <v>795</v>
      </c>
      <c r="F71" s="17">
        <v>264</v>
      </c>
      <c r="G71" s="17">
        <v>7.3</v>
      </c>
      <c r="H71" s="17" t="str">
        <f>INDEX(Employees!$B$2:$B$17,MATCH(B71,Employees!$A$2:$A$17,0))</f>
        <v>Finley</v>
      </c>
      <c r="I71" s="17" t="str">
        <f>INDEX(Employees!$C$2:$C$17,MATCH(B71,Employees!$A$2:$A$17,0))</f>
        <v>Shift Supervisor</v>
      </c>
      <c r="J71" s="25">
        <f t="shared" si="2"/>
        <v>36.164383561643838</v>
      </c>
      <c r="K71" s="19">
        <f>IF(J71=0,0,J71/INDEX('Labor Dashboard'!$C$36:$C$39,MATCH(E71,'Labor Dashboard'!$B$36:$B$39,0)))</f>
        <v>1.2054794520547947</v>
      </c>
      <c r="L71" s="18">
        <f t="shared" si="3"/>
        <v>0</v>
      </c>
      <c r="M71" s="20">
        <f>G71*INDEX(Employees!$E$2:$E$17,MATCH(B71,Employees!$A$2:$A$17,0))</f>
        <v>175.2</v>
      </c>
    </row>
    <row r="72" spans="1:13" ht="18" x14ac:dyDescent="0.2">
      <c r="A72" s="17">
        <v>958</v>
      </c>
      <c r="B72" s="17">
        <v>17</v>
      </c>
      <c r="C72" s="17" t="s">
        <v>173</v>
      </c>
      <c r="D72" s="17" t="s">
        <v>791</v>
      </c>
      <c r="E72" s="17" t="s">
        <v>792</v>
      </c>
      <c r="F72" s="17">
        <v>313</v>
      </c>
      <c r="G72" s="17">
        <v>6.8</v>
      </c>
      <c r="H72" s="17" t="str">
        <f>INDEX(Employees!$B$2:$B$17,MATCH(B72,Employees!$A$2:$A$17,0))</f>
        <v>Jordan</v>
      </c>
      <c r="I72" s="17" t="str">
        <f>INDEX(Employees!$C$2:$C$17,MATCH(B72,Employees!$A$2:$A$17,0))</f>
        <v>Picker</v>
      </c>
      <c r="J72" s="25">
        <f t="shared" si="2"/>
        <v>46.029411764705884</v>
      </c>
      <c r="K72" s="19">
        <f>IF(J72=0,0,J72/INDEX('Labor Dashboard'!$C$36:$C$39,MATCH(E72,'Labor Dashboard'!$B$36:$B$39,0)))</f>
        <v>0.83689839572192515</v>
      </c>
      <c r="L72" s="18">
        <f t="shared" si="3"/>
        <v>1</v>
      </c>
      <c r="M72" s="20">
        <f>G72*INDEX(Employees!$E$2:$E$17,MATCH(B72,Employees!$A$2:$A$17,0))</f>
        <v>115.6</v>
      </c>
    </row>
    <row r="73" spans="1:13" ht="18" x14ac:dyDescent="0.2">
      <c r="A73" s="17">
        <v>959</v>
      </c>
      <c r="B73" s="17">
        <v>18</v>
      </c>
      <c r="C73" s="17" t="s">
        <v>173</v>
      </c>
      <c r="D73" s="17" t="s">
        <v>793</v>
      </c>
      <c r="E73" s="17" t="s">
        <v>792</v>
      </c>
      <c r="F73" s="17">
        <v>444</v>
      </c>
      <c r="G73" s="17">
        <v>6.9</v>
      </c>
      <c r="H73" s="17" t="str">
        <f>INDEX(Employees!$B$2:$B$17,MATCH(B73,Employees!$A$2:$A$17,0))</f>
        <v>Casey</v>
      </c>
      <c r="I73" s="17" t="str">
        <f>INDEX(Employees!$C$2:$C$17,MATCH(B73,Employees!$A$2:$A$17,0))</f>
        <v>Picker</v>
      </c>
      <c r="J73" s="25">
        <f t="shared" si="2"/>
        <v>64.347826086956516</v>
      </c>
      <c r="K73" s="19">
        <f>IF(J73=0,0,J73/INDEX('Labor Dashboard'!$C$36:$C$39,MATCH(E73,'Labor Dashboard'!$B$36:$B$39,0)))</f>
        <v>1.1699604743083003</v>
      </c>
      <c r="L73" s="18">
        <f t="shared" si="3"/>
        <v>1</v>
      </c>
      <c r="M73" s="20">
        <f>G73*INDEX(Employees!$E$2:$E$17,MATCH(B73,Employees!$A$2:$A$17,0))</f>
        <v>117.30000000000001</v>
      </c>
    </row>
    <row r="74" spans="1:13" ht="18" x14ac:dyDescent="0.2">
      <c r="A74" s="17">
        <v>960</v>
      </c>
      <c r="B74" s="17">
        <v>19</v>
      </c>
      <c r="C74" s="17" t="s">
        <v>173</v>
      </c>
      <c r="D74" s="17" t="s">
        <v>793</v>
      </c>
      <c r="E74" s="17" t="s">
        <v>792</v>
      </c>
      <c r="F74" s="17">
        <v>405</v>
      </c>
      <c r="G74" s="17">
        <v>7</v>
      </c>
      <c r="H74" s="17" t="str">
        <f>INDEX(Employees!$B$2:$B$17,MATCH(B74,Employees!$A$2:$A$17,0))</f>
        <v>Morgan</v>
      </c>
      <c r="I74" s="17" t="str">
        <f>INDEX(Employees!$C$2:$C$17,MATCH(B74,Employees!$A$2:$A$17,0))</f>
        <v>Picker</v>
      </c>
      <c r="J74" s="25">
        <f t="shared" si="2"/>
        <v>57.857142857142854</v>
      </c>
      <c r="K74" s="19">
        <f>IF(J74=0,0,J74/INDEX('Labor Dashboard'!$C$36:$C$39,MATCH(E74,'Labor Dashboard'!$B$36:$B$39,0)))</f>
        <v>1.051948051948052</v>
      </c>
      <c r="L74" s="18">
        <f t="shared" si="3"/>
        <v>1</v>
      </c>
      <c r="M74" s="20">
        <f>G74*INDEX(Employees!$E$2:$E$17,MATCH(B74,Employees!$A$2:$A$17,0))</f>
        <v>119</v>
      </c>
    </row>
    <row r="75" spans="1:13" ht="18" x14ac:dyDescent="0.2">
      <c r="A75" s="17">
        <v>961</v>
      </c>
      <c r="B75" s="17">
        <v>20</v>
      </c>
      <c r="C75" s="17" t="s">
        <v>173</v>
      </c>
      <c r="D75" s="17" t="s">
        <v>793</v>
      </c>
      <c r="E75" s="17" t="s">
        <v>792</v>
      </c>
      <c r="F75" s="17">
        <v>429</v>
      </c>
      <c r="G75" s="17">
        <v>8.3000000000000007</v>
      </c>
      <c r="H75" s="17" t="str">
        <f>INDEX(Employees!$B$2:$B$17,MATCH(B75,Employees!$A$2:$A$17,0))</f>
        <v>Taylor</v>
      </c>
      <c r="I75" s="17" t="str">
        <f>INDEX(Employees!$C$2:$C$17,MATCH(B75,Employees!$A$2:$A$17,0))</f>
        <v>Picker</v>
      </c>
      <c r="J75" s="25">
        <f t="shared" si="2"/>
        <v>51.6867469879518</v>
      </c>
      <c r="K75" s="19">
        <f>IF(J75=0,0,J75/INDEX('Labor Dashboard'!$C$36:$C$39,MATCH(E75,'Labor Dashboard'!$B$36:$B$39,0)))</f>
        <v>0.93975903614457823</v>
      </c>
      <c r="L75" s="18">
        <f t="shared" si="3"/>
        <v>1</v>
      </c>
      <c r="M75" s="20">
        <f>G75*INDEX(Employees!$E$2:$E$17,MATCH(B75,Employees!$A$2:$A$17,0))</f>
        <v>141.10000000000002</v>
      </c>
    </row>
    <row r="76" spans="1:13" ht="18" x14ac:dyDescent="0.2">
      <c r="A76" s="17">
        <v>962</v>
      </c>
      <c r="B76" s="17">
        <v>21</v>
      </c>
      <c r="C76" s="17" t="s">
        <v>173</v>
      </c>
      <c r="D76" s="17" t="s">
        <v>793</v>
      </c>
      <c r="E76" s="17" t="s">
        <v>794</v>
      </c>
      <c r="F76" s="17">
        <v>337</v>
      </c>
      <c r="G76" s="17">
        <v>7.6</v>
      </c>
      <c r="H76" s="17" t="str">
        <f>INDEX(Employees!$B$2:$B$17,MATCH(B76,Employees!$A$2:$A$17,0))</f>
        <v>Riley</v>
      </c>
      <c r="I76" s="17" t="str">
        <f>INDEX(Employees!$C$2:$C$17,MATCH(B76,Employees!$A$2:$A$17,0))</f>
        <v>Packer</v>
      </c>
      <c r="J76" s="25">
        <f t="shared" si="2"/>
        <v>44.342105263157897</v>
      </c>
      <c r="K76" s="19">
        <f>IF(J76=0,0,J76/INDEX('Labor Dashboard'!$C$36:$C$39,MATCH(E76,'Labor Dashboard'!$B$36:$B$39,0)))</f>
        <v>0.98538011695906436</v>
      </c>
      <c r="L76" s="18">
        <f t="shared" si="3"/>
        <v>1</v>
      </c>
      <c r="M76" s="20">
        <f>G76*INDEX(Employees!$E$2:$E$17,MATCH(B76,Employees!$A$2:$A$17,0))</f>
        <v>129.19999999999999</v>
      </c>
    </row>
    <row r="77" spans="1:13" ht="18" x14ac:dyDescent="0.2">
      <c r="A77" s="17">
        <v>963</v>
      </c>
      <c r="B77" s="17">
        <v>24</v>
      </c>
      <c r="C77" s="17" t="s">
        <v>173</v>
      </c>
      <c r="D77" s="17" t="s">
        <v>791</v>
      </c>
      <c r="E77" s="17" t="s">
        <v>795</v>
      </c>
      <c r="F77" s="17">
        <v>209</v>
      </c>
      <c r="G77" s="17">
        <v>6.9</v>
      </c>
      <c r="H77" s="17" t="str">
        <f>INDEX(Employees!$B$2:$B$17,MATCH(B77,Employees!$A$2:$A$17,0))</f>
        <v>Dakota</v>
      </c>
      <c r="I77" s="17" t="str">
        <f>INDEX(Employees!$C$2:$C$17,MATCH(B77,Employees!$A$2:$A$17,0))</f>
        <v>Forklift Operator</v>
      </c>
      <c r="J77" s="25">
        <f t="shared" si="2"/>
        <v>30.289855072463766</v>
      </c>
      <c r="K77" s="19">
        <f>IF(J77=0,0,J77/INDEX('Labor Dashboard'!$C$36:$C$39,MATCH(E77,'Labor Dashboard'!$B$36:$B$39,0)))</f>
        <v>1.0096618357487921</v>
      </c>
      <c r="L77" s="18">
        <f t="shared" si="3"/>
        <v>1</v>
      </c>
      <c r="M77" s="20">
        <f>G77*INDEX(Employees!$E$2:$E$17,MATCH(B77,Employees!$A$2:$A$17,0))</f>
        <v>134.55000000000001</v>
      </c>
    </row>
    <row r="78" spans="1:13" ht="18" x14ac:dyDescent="0.2">
      <c r="A78" s="17">
        <v>964</v>
      </c>
      <c r="B78" s="17">
        <v>25</v>
      </c>
      <c r="C78" s="17" t="s">
        <v>173</v>
      </c>
      <c r="D78" s="17" t="s">
        <v>793</v>
      </c>
      <c r="E78" s="17" t="s">
        <v>795</v>
      </c>
      <c r="F78" s="17">
        <v>211</v>
      </c>
      <c r="G78" s="17">
        <v>6.8</v>
      </c>
      <c r="H78" s="17" t="str">
        <f>INDEX(Employees!$B$2:$B$17,MATCH(B78,Employees!$A$2:$A$17,0))</f>
        <v>Hayden</v>
      </c>
      <c r="I78" s="17" t="str">
        <f>INDEX(Employees!$C$2:$C$17,MATCH(B78,Employees!$A$2:$A$17,0))</f>
        <v>Forklift Operator</v>
      </c>
      <c r="J78" s="25">
        <f t="shared" si="2"/>
        <v>31.029411764705884</v>
      </c>
      <c r="K78" s="19">
        <f>IF(J78=0,0,J78/INDEX('Labor Dashboard'!$C$36:$C$39,MATCH(E78,'Labor Dashboard'!$B$36:$B$39,0)))</f>
        <v>1.0343137254901962</v>
      </c>
      <c r="L78" s="18">
        <f t="shared" si="3"/>
        <v>1</v>
      </c>
      <c r="M78" s="20">
        <f>G78*INDEX(Employees!$E$2:$E$17,MATCH(B78,Employees!$A$2:$A$17,0))</f>
        <v>132.6</v>
      </c>
    </row>
    <row r="79" spans="1:13" ht="18" x14ac:dyDescent="0.2">
      <c r="A79" s="17">
        <v>965</v>
      </c>
      <c r="B79" s="17">
        <v>26</v>
      </c>
      <c r="C79" s="17" t="s">
        <v>173</v>
      </c>
      <c r="D79" s="17" t="s">
        <v>793</v>
      </c>
      <c r="E79" s="17" t="s">
        <v>795</v>
      </c>
      <c r="F79" s="17">
        <v>224</v>
      </c>
      <c r="G79" s="17">
        <v>8</v>
      </c>
      <c r="H79" s="17" t="str">
        <f>INDEX(Employees!$B$2:$B$17,MATCH(B79,Employees!$A$2:$A$17,0))</f>
        <v>Reese</v>
      </c>
      <c r="I79" s="17" t="str">
        <f>INDEX(Employees!$C$2:$C$17,MATCH(B79,Employees!$A$2:$A$17,0))</f>
        <v>Receiving Clerk</v>
      </c>
      <c r="J79" s="25">
        <f t="shared" si="2"/>
        <v>28</v>
      </c>
      <c r="K79" s="19">
        <f>IF(J79=0,0,J79/INDEX('Labor Dashboard'!$C$36:$C$39,MATCH(E79,'Labor Dashboard'!$B$36:$B$39,0)))</f>
        <v>0.93333333333333335</v>
      </c>
      <c r="L79" s="18">
        <f t="shared" si="3"/>
        <v>1</v>
      </c>
      <c r="M79" s="20">
        <f>G79*INDEX(Employees!$E$2:$E$17,MATCH(B79,Employees!$A$2:$A$17,0))</f>
        <v>144</v>
      </c>
    </row>
    <row r="80" spans="1:13" ht="18" x14ac:dyDescent="0.2">
      <c r="A80" s="17">
        <v>966</v>
      </c>
      <c r="B80" s="17">
        <v>27</v>
      </c>
      <c r="C80" s="17" t="s">
        <v>173</v>
      </c>
      <c r="D80" s="17" t="s">
        <v>793</v>
      </c>
      <c r="E80" s="17" t="s">
        <v>795</v>
      </c>
      <c r="F80" s="17">
        <v>169</v>
      </c>
      <c r="G80" s="17">
        <v>6.9</v>
      </c>
      <c r="H80" s="17" t="str">
        <f>INDEX(Employees!$B$2:$B$17,MATCH(B80,Employees!$A$2:$A$17,0))</f>
        <v>Skyler</v>
      </c>
      <c r="I80" s="17" t="str">
        <f>INDEX(Employees!$C$2:$C$17,MATCH(B80,Employees!$A$2:$A$17,0))</f>
        <v>Receiving Clerk</v>
      </c>
      <c r="J80" s="25">
        <f t="shared" si="2"/>
        <v>24.492753623188406</v>
      </c>
      <c r="K80" s="19">
        <f>IF(J80=0,0,J80/INDEX('Labor Dashboard'!$C$36:$C$39,MATCH(E80,'Labor Dashboard'!$B$36:$B$39,0)))</f>
        <v>0.81642512077294682</v>
      </c>
      <c r="L80" s="18">
        <f t="shared" si="3"/>
        <v>1</v>
      </c>
      <c r="M80" s="20">
        <f>G80*INDEX(Employees!$E$2:$E$17,MATCH(B80,Employees!$A$2:$A$17,0))</f>
        <v>124.2</v>
      </c>
    </row>
    <row r="81" spans="1:13" ht="18" x14ac:dyDescent="0.2">
      <c r="A81" s="17">
        <v>967</v>
      </c>
      <c r="B81" s="17">
        <v>28</v>
      </c>
      <c r="C81" s="17" t="s">
        <v>173</v>
      </c>
      <c r="D81" s="17" t="s">
        <v>793</v>
      </c>
      <c r="E81" s="17" t="s">
        <v>796</v>
      </c>
      <c r="F81" s="17">
        <v>168</v>
      </c>
      <c r="G81" s="17">
        <v>6.6</v>
      </c>
      <c r="H81" s="17" t="str">
        <f>INDEX(Employees!$B$2:$B$17,MATCH(B81,Employees!$A$2:$A$17,0))</f>
        <v>Peyton</v>
      </c>
      <c r="I81" s="17" t="str">
        <f>INDEX(Employees!$C$2:$C$17,MATCH(B81,Employees!$A$2:$A$17,0))</f>
        <v>Cycle Counter</v>
      </c>
      <c r="J81" s="25">
        <f t="shared" si="2"/>
        <v>25.454545454545457</v>
      </c>
      <c r="K81" s="19">
        <f>IF(J81=0,0,J81/INDEX('Labor Dashboard'!$C$36:$C$39,MATCH(E81,'Labor Dashboard'!$B$36:$B$39,0)))</f>
        <v>1.0181818181818183</v>
      </c>
      <c r="L81" s="18">
        <f t="shared" si="3"/>
        <v>1</v>
      </c>
      <c r="M81" s="20">
        <f>G81*INDEX(Employees!$E$2:$E$17,MATCH(B81,Employees!$A$2:$A$17,0))</f>
        <v>118.8</v>
      </c>
    </row>
    <row r="82" spans="1:13" ht="18" x14ac:dyDescent="0.2">
      <c r="A82" s="17">
        <v>968</v>
      </c>
      <c r="B82" s="17">
        <v>29</v>
      </c>
      <c r="C82" s="17" t="s">
        <v>173</v>
      </c>
      <c r="D82" s="17" t="s">
        <v>793</v>
      </c>
      <c r="E82" s="17" t="s">
        <v>796</v>
      </c>
      <c r="F82" s="17">
        <v>226</v>
      </c>
      <c r="G82" s="17">
        <v>8</v>
      </c>
      <c r="H82" s="17" t="str">
        <f>INDEX(Employees!$B$2:$B$17,MATCH(B82,Employees!$A$2:$A$17,0))</f>
        <v>Rowan</v>
      </c>
      <c r="I82" s="17" t="str">
        <f>INDEX(Employees!$C$2:$C$17,MATCH(B82,Employees!$A$2:$A$17,0))</f>
        <v>Cycle Counter</v>
      </c>
      <c r="J82" s="25">
        <f t="shared" si="2"/>
        <v>28.25</v>
      </c>
      <c r="K82" s="19">
        <f>IF(J82=0,0,J82/INDEX('Labor Dashboard'!$C$36:$C$39,MATCH(E82,'Labor Dashboard'!$B$36:$B$39,0)))</f>
        <v>1.1299999999999999</v>
      </c>
      <c r="L82" s="18">
        <f t="shared" si="3"/>
        <v>1</v>
      </c>
      <c r="M82" s="20">
        <f>G82*INDEX(Employees!$E$2:$E$17,MATCH(B82,Employees!$A$2:$A$17,0))</f>
        <v>144</v>
      </c>
    </row>
    <row r="83" spans="1:13" ht="18" x14ac:dyDescent="0.2">
      <c r="A83" s="17">
        <v>969</v>
      </c>
      <c r="B83" s="17">
        <v>30</v>
      </c>
      <c r="C83" s="17" t="s">
        <v>173</v>
      </c>
      <c r="D83" s="17" t="s">
        <v>793</v>
      </c>
      <c r="E83" s="17" t="s">
        <v>792</v>
      </c>
      <c r="F83" s="17">
        <v>312</v>
      </c>
      <c r="G83" s="17">
        <v>6.5</v>
      </c>
      <c r="H83" s="17" t="str">
        <f>INDEX(Employees!$B$2:$B$17,MATCH(B83,Employees!$A$2:$A$17,0))</f>
        <v>Emerson</v>
      </c>
      <c r="I83" s="17" t="str">
        <f>INDEX(Employees!$C$2:$C$17,MATCH(B83,Employees!$A$2:$A$17,0))</f>
        <v>Shift Supervisor</v>
      </c>
      <c r="J83" s="25">
        <f t="shared" si="2"/>
        <v>48</v>
      </c>
      <c r="K83" s="19">
        <f>IF(J83=0,0,J83/INDEX('Labor Dashboard'!$C$36:$C$39,MATCH(E83,'Labor Dashboard'!$B$36:$B$39,0)))</f>
        <v>0.87272727272727268</v>
      </c>
      <c r="L83" s="18">
        <f t="shared" si="3"/>
        <v>1</v>
      </c>
      <c r="M83" s="20">
        <f>G83*INDEX(Employees!$E$2:$E$17,MATCH(B83,Employees!$A$2:$A$17,0))</f>
        <v>156</v>
      </c>
    </row>
    <row r="84" spans="1:13" ht="18" x14ac:dyDescent="0.2">
      <c r="A84" s="17">
        <v>970</v>
      </c>
      <c r="B84" s="17">
        <v>31</v>
      </c>
      <c r="C84" s="17" t="s">
        <v>173</v>
      </c>
      <c r="D84" s="17" t="s">
        <v>793</v>
      </c>
      <c r="E84" s="17" t="s">
        <v>794</v>
      </c>
      <c r="F84" s="17">
        <v>401</v>
      </c>
      <c r="G84" s="17">
        <v>7.5</v>
      </c>
      <c r="H84" s="17" t="str">
        <f>INDEX(Employees!$B$2:$B$17,MATCH(B84,Employees!$A$2:$A$17,0))</f>
        <v>Finley</v>
      </c>
      <c r="I84" s="17" t="str">
        <f>INDEX(Employees!$C$2:$C$17,MATCH(B84,Employees!$A$2:$A$17,0))</f>
        <v>Shift Supervisor</v>
      </c>
      <c r="J84" s="25">
        <f t="shared" si="2"/>
        <v>53.466666666666669</v>
      </c>
      <c r="K84" s="19">
        <f>IF(J84=0,0,J84/INDEX('Labor Dashboard'!$C$36:$C$39,MATCH(E84,'Labor Dashboard'!$B$36:$B$39,0)))</f>
        <v>1.1881481481481482</v>
      </c>
      <c r="L84" s="18">
        <f t="shared" si="3"/>
        <v>1</v>
      </c>
      <c r="M84" s="20">
        <f>G84*INDEX(Employees!$E$2:$E$17,MATCH(B84,Employees!$A$2:$A$17,0))</f>
        <v>180</v>
      </c>
    </row>
    <row r="85" spans="1:13" ht="18" x14ac:dyDescent="0.2">
      <c r="A85" s="17">
        <v>971</v>
      </c>
      <c r="B85" s="17">
        <v>32</v>
      </c>
      <c r="C85" s="17" t="s">
        <v>173</v>
      </c>
      <c r="D85" s="17" t="s">
        <v>793</v>
      </c>
      <c r="E85" s="17" t="s">
        <v>792</v>
      </c>
      <c r="F85" s="17">
        <v>355</v>
      </c>
      <c r="G85" s="17">
        <v>6.6</v>
      </c>
      <c r="H85" s="17" t="str">
        <f>INDEX(Employees!$B$2:$B$17,MATCH(B85,Employees!$A$2:$A$17,0))</f>
        <v>Sawyer</v>
      </c>
      <c r="I85" s="17" t="str">
        <f>INDEX(Employees!$C$2:$C$17,MATCH(B85,Employees!$A$2:$A$17,0))</f>
        <v>Shift Supervisor</v>
      </c>
      <c r="J85" s="25">
        <f t="shared" si="2"/>
        <v>53.787878787878789</v>
      </c>
      <c r="K85" s="19">
        <f>IF(J85=0,0,J85/INDEX('Labor Dashboard'!$C$36:$C$39,MATCH(E85,'Labor Dashboard'!$B$36:$B$39,0)))</f>
        <v>0.97796143250688705</v>
      </c>
      <c r="L85" s="18">
        <f t="shared" si="3"/>
        <v>1</v>
      </c>
      <c r="M85" s="20">
        <f>G85*INDEX(Employees!$E$2:$E$17,MATCH(B85,Employees!$A$2:$A$17,0))</f>
        <v>158.39999999999998</v>
      </c>
    </row>
    <row r="86" spans="1:13" ht="18" x14ac:dyDescent="0.2">
      <c r="A86" s="17">
        <v>972</v>
      </c>
      <c r="B86" s="17">
        <v>17</v>
      </c>
      <c r="C86" s="17" t="s">
        <v>801</v>
      </c>
      <c r="D86" s="17" t="s">
        <v>793</v>
      </c>
      <c r="E86" s="17" t="s">
        <v>792</v>
      </c>
      <c r="F86" s="17">
        <v>353</v>
      </c>
      <c r="G86" s="17">
        <v>7.2</v>
      </c>
      <c r="H86" s="17" t="str">
        <f>INDEX(Employees!$B$2:$B$17,MATCH(B86,Employees!$A$2:$A$17,0))</f>
        <v>Jordan</v>
      </c>
      <c r="I86" s="17" t="str">
        <f>INDEX(Employees!$C$2:$C$17,MATCH(B86,Employees!$A$2:$A$17,0))</f>
        <v>Picker</v>
      </c>
      <c r="J86" s="25">
        <f t="shared" si="2"/>
        <v>49.027777777777779</v>
      </c>
      <c r="K86" s="19">
        <f>IF(J86=0,0,J86/INDEX('Labor Dashboard'!$C$36:$C$39,MATCH(E86,'Labor Dashboard'!$B$36:$B$39,0)))</f>
        <v>0.89141414141414144</v>
      </c>
      <c r="L86" s="18">
        <f t="shared" si="3"/>
        <v>1</v>
      </c>
      <c r="M86" s="20">
        <f>G86*INDEX(Employees!$E$2:$E$17,MATCH(B86,Employees!$A$2:$A$17,0))</f>
        <v>122.4</v>
      </c>
    </row>
    <row r="87" spans="1:13" ht="18" x14ac:dyDescent="0.2">
      <c r="A87" s="17">
        <v>973</v>
      </c>
      <c r="B87" s="17">
        <v>18</v>
      </c>
      <c r="C87" s="17" t="s">
        <v>801</v>
      </c>
      <c r="D87" s="17" t="s">
        <v>791</v>
      </c>
      <c r="E87" s="17" t="s">
        <v>792</v>
      </c>
      <c r="F87" s="17">
        <v>458</v>
      </c>
      <c r="G87" s="17">
        <v>8</v>
      </c>
      <c r="H87" s="17" t="str">
        <f>INDEX(Employees!$B$2:$B$17,MATCH(B87,Employees!$A$2:$A$17,0))</f>
        <v>Casey</v>
      </c>
      <c r="I87" s="17" t="str">
        <f>INDEX(Employees!$C$2:$C$17,MATCH(B87,Employees!$A$2:$A$17,0))</f>
        <v>Picker</v>
      </c>
      <c r="J87" s="25">
        <f t="shared" si="2"/>
        <v>57.25</v>
      </c>
      <c r="K87" s="19">
        <f>IF(J87=0,0,J87/INDEX('Labor Dashboard'!$C$36:$C$39,MATCH(E87,'Labor Dashboard'!$B$36:$B$39,0)))</f>
        <v>1.040909090909091</v>
      </c>
      <c r="L87" s="18">
        <f t="shared" si="3"/>
        <v>1</v>
      </c>
      <c r="M87" s="20">
        <f>G87*INDEX(Employees!$E$2:$E$17,MATCH(B87,Employees!$A$2:$A$17,0))</f>
        <v>136</v>
      </c>
    </row>
    <row r="88" spans="1:13" ht="18" x14ac:dyDescent="0.2">
      <c r="A88" s="17">
        <v>974</v>
      </c>
      <c r="B88" s="17">
        <v>19</v>
      </c>
      <c r="C88" s="17" t="s">
        <v>801</v>
      </c>
      <c r="D88" s="17" t="s">
        <v>793</v>
      </c>
      <c r="E88" s="17" t="s">
        <v>792</v>
      </c>
      <c r="F88" s="17">
        <v>455</v>
      </c>
      <c r="G88" s="17">
        <v>8.4</v>
      </c>
      <c r="H88" s="17" t="str">
        <f>INDEX(Employees!$B$2:$B$17,MATCH(B88,Employees!$A$2:$A$17,0))</f>
        <v>Morgan</v>
      </c>
      <c r="I88" s="17" t="str">
        <f>INDEX(Employees!$C$2:$C$17,MATCH(B88,Employees!$A$2:$A$17,0))</f>
        <v>Picker</v>
      </c>
      <c r="J88" s="25">
        <f t="shared" si="2"/>
        <v>54.166666666666664</v>
      </c>
      <c r="K88" s="19">
        <f>IF(J88=0,0,J88/INDEX('Labor Dashboard'!$C$36:$C$39,MATCH(E88,'Labor Dashboard'!$B$36:$B$39,0)))</f>
        <v>0.98484848484848475</v>
      </c>
      <c r="L88" s="18">
        <f t="shared" si="3"/>
        <v>1</v>
      </c>
      <c r="M88" s="20">
        <f>G88*INDEX(Employees!$E$2:$E$17,MATCH(B88,Employees!$A$2:$A$17,0))</f>
        <v>142.80000000000001</v>
      </c>
    </row>
    <row r="89" spans="1:13" ht="18" x14ac:dyDescent="0.2">
      <c r="A89" s="17">
        <v>975</v>
      </c>
      <c r="B89" s="17">
        <v>20</v>
      </c>
      <c r="C89" s="17" t="s">
        <v>801</v>
      </c>
      <c r="D89" s="17" t="s">
        <v>791</v>
      </c>
      <c r="E89" s="17" t="s">
        <v>792</v>
      </c>
      <c r="F89" s="17">
        <v>354</v>
      </c>
      <c r="G89" s="17">
        <v>7</v>
      </c>
      <c r="H89" s="17" t="str">
        <f>INDEX(Employees!$B$2:$B$17,MATCH(B89,Employees!$A$2:$A$17,0))</f>
        <v>Taylor</v>
      </c>
      <c r="I89" s="17" t="str">
        <f>INDEX(Employees!$C$2:$C$17,MATCH(B89,Employees!$A$2:$A$17,0))</f>
        <v>Picker</v>
      </c>
      <c r="J89" s="25">
        <f t="shared" si="2"/>
        <v>50.571428571428569</v>
      </c>
      <c r="K89" s="19">
        <f>IF(J89=0,0,J89/INDEX('Labor Dashboard'!$C$36:$C$39,MATCH(E89,'Labor Dashboard'!$B$36:$B$39,0)))</f>
        <v>0.91948051948051945</v>
      </c>
      <c r="L89" s="18">
        <f t="shared" si="3"/>
        <v>1</v>
      </c>
      <c r="M89" s="20">
        <f>G89*INDEX(Employees!$E$2:$E$17,MATCH(B89,Employees!$A$2:$A$17,0))</f>
        <v>119</v>
      </c>
    </row>
    <row r="90" spans="1:13" ht="18" x14ac:dyDescent="0.2">
      <c r="A90" s="17">
        <v>976</v>
      </c>
      <c r="B90" s="17">
        <v>21</v>
      </c>
      <c r="C90" s="17" t="s">
        <v>801</v>
      </c>
      <c r="D90" s="17" t="s">
        <v>793</v>
      </c>
      <c r="E90" s="17" t="s">
        <v>794</v>
      </c>
      <c r="F90" s="17">
        <v>306</v>
      </c>
      <c r="G90" s="17">
        <v>7.9</v>
      </c>
      <c r="H90" s="17" t="str">
        <f>INDEX(Employees!$B$2:$B$17,MATCH(B90,Employees!$A$2:$A$17,0))</f>
        <v>Riley</v>
      </c>
      <c r="I90" s="17" t="str">
        <f>INDEX(Employees!$C$2:$C$17,MATCH(B90,Employees!$A$2:$A$17,0))</f>
        <v>Packer</v>
      </c>
      <c r="J90" s="25">
        <f t="shared" si="2"/>
        <v>38.734177215189874</v>
      </c>
      <c r="K90" s="19">
        <f>IF(J90=0,0,J90/INDEX('Labor Dashboard'!$C$36:$C$39,MATCH(E90,'Labor Dashboard'!$B$36:$B$39,0)))</f>
        <v>0.86075949367088611</v>
      </c>
      <c r="L90" s="18">
        <f t="shared" si="3"/>
        <v>1</v>
      </c>
      <c r="M90" s="20">
        <f>G90*INDEX(Employees!$E$2:$E$17,MATCH(B90,Employees!$A$2:$A$17,0))</f>
        <v>134.30000000000001</v>
      </c>
    </row>
    <row r="91" spans="1:13" ht="18" x14ac:dyDescent="0.2">
      <c r="A91" s="17">
        <v>977</v>
      </c>
      <c r="B91" s="17">
        <v>22</v>
      </c>
      <c r="C91" s="17" t="s">
        <v>801</v>
      </c>
      <c r="D91" s="17" t="s">
        <v>791</v>
      </c>
      <c r="E91" s="17" t="s">
        <v>794</v>
      </c>
      <c r="F91" s="17">
        <v>389</v>
      </c>
      <c r="G91" s="17">
        <v>7.5</v>
      </c>
      <c r="H91" s="17" t="str">
        <f>INDEX(Employees!$B$2:$B$17,MATCH(B91,Employees!$A$2:$A$17,0))</f>
        <v>Avery</v>
      </c>
      <c r="I91" s="17" t="str">
        <f>INDEX(Employees!$C$2:$C$17,MATCH(B91,Employees!$A$2:$A$17,0))</f>
        <v>Packer</v>
      </c>
      <c r="J91" s="25">
        <f t="shared" si="2"/>
        <v>51.866666666666667</v>
      </c>
      <c r="K91" s="19">
        <f>IF(J91=0,0,J91/INDEX('Labor Dashboard'!$C$36:$C$39,MATCH(E91,'Labor Dashboard'!$B$36:$B$39,0)))</f>
        <v>1.1525925925925926</v>
      </c>
      <c r="L91" s="18">
        <f t="shared" si="3"/>
        <v>1</v>
      </c>
      <c r="M91" s="20">
        <f>G91*INDEX(Employees!$E$2:$E$17,MATCH(B91,Employees!$A$2:$A$17,0))</f>
        <v>127.5</v>
      </c>
    </row>
    <row r="92" spans="1:13" ht="18" x14ac:dyDescent="0.2">
      <c r="A92" s="17">
        <v>978</v>
      </c>
      <c r="B92" s="17">
        <v>23</v>
      </c>
      <c r="C92" s="17" t="s">
        <v>801</v>
      </c>
      <c r="D92" s="17" t="s">
        <v>793</v>
      </c>
      <c r="E92" s="17" t="s">
        <v>794</v>
      </c>
      <c r="F92" s="17">
        <v>347</v>
      </c>
      <c r="G92" s="17">
        <v>6.5</v>
      </c>
      <c r="H92" s="17" t="str">
        <f>INDEX(Employees!$B$2:$B$17,MATCH(B92,Employees!$A$2:$A$17,0))</f>
        <v>Cameron</v>
      </c>
      <c r="I92" s="17" t="str">
        <f>INDEX(Employees!$C$2:$C$17,MATCH(B92,Employees!$A$2:$A$17,0))</f>
        <v>Packer</v>
      </c>
      <c r="J92" s="25">
        <f t="shared" si="2"/>
        <v>53.384615384615387</v>
      </c>
      <c r="K92" s="19">
        <f>IF(J92=0,0,J92/INDEX('Labor Dashboard'!$C$36:$C$39,MATCH(E92,'Labor Dashboard'!$B$36:$B$39,0)))</f>
        <v>1.1863247863247863</v>
      </c>
      <c r="L92" s="18">
        <f t="shared" si="3"/>
        <v>1</v>
      </c>
      <c r="M92" s="20">
        <f>G92*INDEX(Employees!$E$2:$E$17,MATCH(B92,Employees!$A$2:$A$17,0))</f>
        <v>110.5</v>
      </c>
    </row>
    <row r="93" spans="1:13" ht="18" x14ac:dyDescent="0.2">
      <c r="A93" s="17">
        <v>979</v>
      </c>
      <c r="B93" s="17">
        <v>24</v>
      </c>
      <c r="C93" s="17" t="s">
        <v>801</v>
      </c>
      <c r="D93" s="17" t="s">
        <v>793</v>
      </c>
      <c r="E93" s="17" t="s">
        <v>792</v>
      </c>
      <c r="F93" s="17">
        <v>383</v>
      </c>
      <c r="G93" s="17">
        <v>6.6</v>
      </c>
      <c r="H93" s="17" t="str">
        <f>INDEX(Employees!$B$2:$B$17,MATCH(B93,Employees!$A$2:$A$17,0))</f>
        <v>Dakota</v>
      </c>
      <c r="I93" s="17" t="str">
        <f>INDEX(Employees!$C$2:$C$17,MATCH(B93,Employees!$A$2:$A$17,0))</f>
        <v>Forklift Operator</v>
      </c>
      <c r="J93" s="25">
        <f t="shared" si="2"/>
        <v>58.030303030303031</v>
      </c>
      <c r="K93" s="19">
        <f>IF(J93=0,0,J93/INDEX('Labor Dashboard'!$C$36:$C$39,MATCH(E93,'Labor Dashboard'!$B$36:$B$39,0)))</f>
        <v>1.0550964187327825</v>
      </c>
      <c r="L93" s="18">
        <f t="shared" si="3"/>
        <v>1</v>
      </c>
      <c r="M93" s="20">
        <f>G93*INDEX(Employees!$E$2:$E$17,MATCH(B93,Employees!$A$2:$A$17,0))</f>
        <v>128.69999999999999</v>
      </c>
    </row>
    <row r="94" spans="1:13" ht="18" x14ac:dyDescent="0.2">
      <c r="A94" s="17">
        <v>980</v>
      </c>
      <c r="B94" s="17">
        <v>25</v>
      </c>
      <c r="C94" s="17" t="s">
        <v>801</v>
      </c>
      <c r="D94" s="17" t="s">
        <v>791</v>
      </c>
      <c r="E94" s="17" t="s">
        <v>795</v>
      </c>
      <c r="F94" s="17">
        <v>229</v>
      </c>
      <c r="G94" s="17">
        <v>7.7</v>
      </c>
      <c r="H94" s="17" t="str">
        <f>INDEX(Employees!$B$2:$B$17,MATCH(B94,Employees!$A$2:$A$17,0))</f>
        <v>Hayden</v>
      </c>
      <c r="I94" s="17" t="str">
        <f>INDEX(Employees!$C$2:$C$17,MATCH(B94,Employees!$A$2:$A$17,0))</f>
        <v>Forklift Operator</v>
      </c>
      <c r="J94" s="25">
        <f t="shared" si="2"/>
        <v>29.740259740259738</v>
      </c>
      <c r="K94" s="19">
        <f>IF(J94=0,0,J94/INDEX('Labor Dashboard'!$C$36:$C$39,MATCH(E94,'Labor Dashboard'!$B$36:$B$39,0)))</f>
        <v>0.9913419913419913</v>
      </c>
      <c r="L94" s="18">
        <f t="shared" si="3"/>
        <v>1</v>
      </c>
      <c r="M94" s="20">
        <f>G94*INDEX(Employees!$E$2:$E$17,MATCH(B94,Employees!$A$2:$A$17,0))</f>
        <v>150.15</v>
      </c>
    </row>
    <row r="95" spans="1:13" ht="18" x14ac:dyDescent="0.2">
      <c r="A95" s="17">
        <v>981</v>
      </c>
      <c r="B95" s="17">
        <v>26</v>
      </c>
      <c r="C95" s="17" t="s">
        <v>801</v>
      </c>
      <c r="D95" s="17" t="s">
        <v>793</v>
      </c>
      <c r="E95" s="17" t="s">
        <v>795</v>
      </c>
      <c r="F95" s="17">
        <v>218</v>
      </c>
      <c r="G95" s="17">
        <v>7.8</v>
      </c>
      <c r="H95" s="17" t="str">
        <f>INDEX(Employees!$B$2:$B$17,MATCH(B95,Employees!$A$2:$A$17,0))</f>
        <v>Reese</v>
      </c>
      <c r="I95" s="17" t="str">
        <f>INDEX(Employees!$C$2:$C$17,MATCH(B95,Employees!$A$2:$A$17,0))</f>
        <v>Receiving Clerk</v>
      </c>
      <c r="J95" s="25">
        <f t="shared" si="2"/>
        <v>27.948717948717949</v>
      </c>
      <c r="K95" s="19">
        <f>IF(J95=0,0,J95/INDEX('Labor Dashboard'!$C$36:$C$39,MATCH(E95,'Labor Dashboard'!$B$36:$B$39,0)))</f>
        <v>0.93162393162393164</v>
      </c>
      <c r="L95" s="18">
        <f t="shared" si="3"/>
        <v>1</v>
      </c>
      <c r="M95" s="20">
        <f>G95*INDEX(Employees!$E$2:$E$17,MATCH(B95,Employees!$A$2:$A$17,0))</f>
        <v>140.4</v>
      </c>
    </row>
    <row r="96" spans="1:13" ht="18" x14ac:dyDescent="0.2">
      <c r="A96" s="17">
        <v>982</v>
      </c>
      <c r="B96" s="17">
        <v>27</v>
      </c>
      <c r="C96" s="17" t="s">
        <v>801</v>
      </c>
      <c r="D96" s="17" t="s">
        <v>793</v>
      </c>
      <c r="E96" s="17" t="s">
        <v>795</v>
      </c>
      <c r="F96" s="17">
        <v>202</v>
      </c>
      <c r="G96" s="17">
        <v>8</v>
      </c>
      <c r="H96" s="17" t="str">
        <f>INDEX(Employees!$B$2:$B$17,MATCH(B96,Employees!$A$2:$A$17,0))</f>
        <v>Skyler</v>
      </c>
      <c r="I96" s="17" t="str">
        <f>INDEX(Employees!$C$2:$C$17,MATCH(B96,Employees!$A$2:$A$17,0))</f>
        <v>Receiving Clerk</v>
      </c>
      <c r="J96" s="25">
        <f t="shared" si="2"/>
        <v>25.25</v>
      </c>
      <c r="K96" s="19">
        <f>IF(J96=0,0,J96/INDEX('Labor Dashboard'!$C$36:$C$39,MATCH(E96,'Labor Dashboard'!$B$36:$B$39,0)))</f>
        <v>0.84166666666666667</v>
      </c>
      <c r="L96" s="18">
        <f t="shared" si="3"/>
        <v>1</v>
      </c>
      <c r="M96" s="20">
        <f>G96*INDEX(Employees!$E$2:$E$17,MATCH(B96,Employees!$A$2:$A$17,0))</f>
        <v>144</v>
      </c>
    </row>
    <row r="97" spans="1:13" ht="18" x14ac:dyDescent="0.2">
      <c r="A97" s="17">
        <v>983</v>
      </c>
      <c r="B97" s="17">
        <v>28</v>
      </c>
      <c r="C97" s="17" t="s">
        <v>801</v>
      </c>
      <c r="D97" s="17" t="s">
        <v>791</v>
      </c>
      <c r="E97" s="17" t="s">
        <v>796</v>
      </c>
      <c r="F97" s="17">
        <v>175</v>
      </c>
      <c r="G97" s="17">
        <v>8.1</v>
      </c>
      <c r="H97" s="17" t="str">
        <f>INDEX(Employees!$B$2:$B$17,MATCH(B97,Employees!$A$2:$A$17,0))</f>
        <v>Peyton</v>
      </c>
      <c r="I97" s="17" t="str">
        <f>INDEX(Employees!$C$2:$C$17,MATCH(B97,Employees!$A$2:$A$17,0))</f>
        <v>Cycle Counter</v>
      </c>
      <c r="J97" s="25">
        <f t="shared" si="2"/>
        <v>21.60493827160494</v>
      </c>
      <c r="K97" s="19">
        <f>IF(J97=0,0,J97/INDEX('Labor Dashboard'!$C$36:$C$39,MATCH(E97,'Labor Dashboard'!$B$36:$B$39,0)))</f>
        <v>0.86419753086419759</v>
      </c>
      <c r="L97" s="18">
        <f t="shared" si="3"/>
        <v>1</v>
      </c>
      <c r="M97" s="20">
        <f>G97*INDEX(Employees!$E$2:$E$17,MATCH(B97,Employees!$A$2:$A$17,0))</f>
        <v>145.79999999999998</v>
      </c>
    </row>
    <row r="98" spans="1:13" ht="18" x14ac:dyDescent="0.2">
      <c r="A98" s="17">
        <v>984</v>
      </c>
      <c r="B98" s="17">
        <v>29</v>
      </c>
      <c r="C98" s="17" t="s">
        <v>801</v>
      </c>
      <c r="D98" s="17" t="s">
        <v>793</v>
      </c>
      <c r="E98" s="17" t="s">
        <v>796</v>
      </c>
      <c r="F98" s="17">
        <v>223</v>
      </c>
      <c r="G98" s="17">
        <v>8</v>
      </c>
      <c r="H98" s="17" t="str">
        <f>INDEX(Employees!$B$2:$B$17,MATCH(B98,Employees!$A$2:$A$17,0))</f>
        <v>Rowan</v>
      </c>
      <c r="I98" s="17" t="str">
        <f>INDEX(Employees!$C$2:$C$17,MATCH(B98,Employees!$A$2:$A$17,0))</f>
        <v>Cycle Counter</v>
      </c>
      <c r="J98" s="25">
        <f t="shared" si="2"/>
        <v>27.875</v>
      </c>
      <c r="K98" s="19">
        <f>IF(J98=0,0,J98/INDEX('Labor Dashboard'!$C$36:$C$39,MATCH(E98,'Labor Dashboard'!$B$36:$B$39,0)))</f>
        <v>1.115</v>
      </c>
      <c r="L98" s="18">
        <f t="shared" si="3"/>
        <v>1</v>
      </c>
      <c r="M98" s="20">
        <f>G98*INDEX(Employees!$E$2:$E$17,MATCH(B98,Employees!$A$2:$A$17,0))</f>
        <v>144</v>
      </c>
    </row>
    <row r="99" spans="1:13" ht="18" x14ac:dyDescent="0.2">
      <c r="A99" s="17">
        <v>985</v>
      </c>
      <c r="B99" s="17">
        <v>30</v>
      </c>
      <c r="C99" s="17" t="s">
        <v>801</v>
      </c>
      <c r="D99" s="17" t="s">
        <v>793</v>
      </c>
      <c r="E99" s="17" t="s">
        <v>796</v>
      </c>
      <c r="F99" s="17">
        <v>130</v>
      </c>
      <c r="G99" s="17">
        <v>6.8</v>
      </c>
      <c r="H99" s="17" t="str">
        <f>INDEX(Employees!$B$2:$B$17,MATCH(B99,Employees!$A$2:$A$17,0))</f>
        <v>Emerson</v>
      </c>
      <c r="I99" s="17" t="str">
        <f>INDEX(Employees!$C$2:$C$17,MATCH(B99,Employees!$A$2:$A$17,0))</f>
        <v>Shift Supervisor</v>
      </c>
      <c r="J99" s="25">
        <f t="shared" si="2"/>
        <v>19.117647058823529</v>
      </c>
      <c r="K99" s="19">
        <f>IF(J99=0,0,J99/INDEX('Labor Dashboard'!$C$36:$C$39,MATCH(E99,'Labor Dashboard'!$B$36:$B$39,0)))</f>
        <v>0.76470588235294112</v>
      </c>
      <c r="L99" s="18">
        <f t="shared" si="3"/>
        <v>1</v>
      </c>
      <c r="M99" s="20">
        <f>G99*INDEX(Employees!$E$2:$E$17,MATCH(B99,Employees!$A$2:$A$17,0))</f>
        <v>163.19999999999999</v>
      </c>
    </row>
    <row r="100" spans="1:13" ht="18" x14ac:dyDescent="0.2">
      <c r="A100" s="17">
        <v>986</v>
      </c>
      <c r="B100" s="17">
        <v>31</v>
      </c>
      <c r="C100" s="17" t="s">
        <v>801</v>
      </c>
      <c r="D100" s="17" t="s">
        <v>793</v>
      </c>
      <c r="E100" s="17" t="s">
        <v>795</v>
      </c>
      <c r="F100" s="17">
        <v>208</v>
      </c>
      <c r="G100" s="17">
        <v>6.9</v>
      </c>
      <c r="H100" s="17" t="str">
        <f>INDEX(Employees!$B$2:$B$17,MATCH(B100,Employees!$A$2:$A$17,0))</f>
        <v>Finley</v>
      </c>
      <c r="I100" s="17" t="str">
        <f>INDEX(Employees!$C$2:$C$17,MATCH(B100,Employees!$A$2:$A$17,0))</f>
        <v>Shift Supervisor</v>
      </c>
      <c r="J100" s="25">
        <f t="shared" si="2"/>
        <v>30.144927536231883</v>
      </c>
      <c r="K100" s="19">
        <f>IF(J100=0,0,J100/INDEX('Labor Dashboard'!$C$36:$C$39,MATCH(E100,'Labor Dashboard'!$B$36:$B$39,0)))</f>
        <v>1.0048309178743962</v>
      </c>
      <c r="L100" s="18">
        <f t="shared" si="3"/>
        <v>1</v>
      </c>
      <c r="M100" s="20">
        <f>G100*INDEX(Employees!$E$2:$E$17,MATCH(B100,Employees!$A$2:$A$17,0))</f>
        <v>165.60000000000002</v>
      </c>
    </row>
    <row r="101" spans="1:13" ht="18" x14ac:dyDescent="0.2">
      <c r="A101" s="17">
        <v>987</v>
      </c>
      <c r="B101" s="17">
        <v>32</v>
      </c>
      <c r="C101" s="17" t="s">
        <v>801</v>
      </c>
      <c r="D101" s="17" t="s">
        <v>791</v>
      </c>
      <c r="E101" s="17" t="s">
        <v>792</v>
      </c>
      <c r="F101" s="17">
        <v>409</v>
      </c>
      <c r="G101" s="17">
        <v>7.7</v>
      </c>
      <c r="H101" s="17" t="str">
        <f>INDEX(Employees!$B$2:$B$17,MATCH(B101,Employees!$A$2:$A$17,0))</f>
        <v>Sawyer</v>
      </c>
      <c r="I101" s="17" t="str">
        <f>INDEX(Employees!$C$2:$C$17,MATCH(B101,Employees!$A$2:$A$17,0))</f>
        <v>Shift Supervisor</v>
      </c>
      <c r="J101" s="25">
        <f t="shared" si="2"/>
        <v>53.116883116883116</v>
      </c>
      <c r="K101" s="19">
        <f>IF(J101=0,0,J101/INDEX('Labor Dashboard'!$C$36:$C$39,MATCH(E101,'Labor Dashboard'!$B$36:$B$39,0)))</f>
        <v>0.96576151121605669</v>
      </c>
      <c r="L101" s="18">
        <f t="shared" si="3"/>
        <v>1</v>
      </c>
      <c r="M101" s="20">
        <f>G101*INDEX(Employees!$E$2:$E$17,MATCH(B101,Employees!$A$2:$A$17,0))</f>
        <v>184.8</v>
      </c>
    </row>
    <row r="102" spans="1:13" ht="18" x14ac:dyDescent="0.2">
      <c r="A102" s="17">
        <v>988</v>
      </c>
      <c r="B102" s="17">
        <v>17</v>
      </c>
      <c r="C102" s="17" t="s">
        <v>243</v>
      </c>
      <c r="D102" s="17" t="s">
        <v>791</v>
      </c>
      <c r="E102" s="17" t="s">
        <v>792</v>
      </c>
      <c r="F102" s="17">
        <v>339</v>
      </c>
      <c r="G102" s="17">
        <v>7.6</v>
      </c>
      <c r="H102" s="17" t="str">
        <f>INDEX(Employees!$B$2:$B$17,MATCH(B102,Employees!$A$2:$A$17,0))</f>
        <v>Jordan</v>
      </c>
      <c r="I102" s="17" t="str">
        <f>INDEX(Employees!$C$2:$C$17,MATCH(B102,Employees!$A$2:$A$17,0))</f>
        <v>Picker</v>
      </c>
      <c r="J102" s="25">
        <f t="shared" si="2"/>
        <v>44.60526315789474</v>
      </c>
      <c r="K102" s="19">
        <f>IF(J102=0,0,J102/INDEX('Labor Dashboard'!$C$36:$C$39,MATCH(E102,'Labor Dashboard'!$B$36:$B$39,0)))</f>
        <v>0.81100478468899528</v>
      </c>
      <c r="L102" s="18">
        <f t="shared" si="3"/>
        <v>1</v>
      </c>
      <c r="M102" s="20">
        <f>G102*INDEX(Employees!$E$2:$E$17,MATCH(B102,Employees!$A$2:$A$17,0))</f>
        <v>129.19999999999999</v>
      </c>
    </row>
    <row r="103" spans="1:13" ht="18" x14ac:dyDescent="0.2">
      <c r="A103" s="17">
        <v>989</v>
      </c>
      <c r="B103" s="17">
        <v>18</v>
      </c>
      <c r="C103" s="17" t="s">
        <v>243</v>
      </c>
      <c r="D103" s="17" t="s">
        <v>791</v>
      </c>
      <c r="E103" s="17" t="s">
        <v>792</v>
      </c>
      <c r="F103" s="17">
        <v>437</v>
      </c>
      <c r="G103" s="17">
        <v>7.9</v>
      </c>
      <c r="H103" s="17" t="str">
        <f>INDEX(Employees!$B$2:$B$17,MATCH(B103,Employees!$A$2:$A$17,0))</f>
        <v>Casey</v>
      </c>
      <c r="I103" s="17" t="str">
        <f>INDEX(Employees!$C$2:$C$17,MATCH(B103,Employees!$A$2:$A$17,0))</f>
        <v>Picker</v>
      </c>
      <c r="J103" s="25">
        <f t="shared" si="2"/>
        <v>55.316455696202532</v>
      </c>
      <c r="K103" s="19">
        <f>IF(J103=0,0,J103/INDEX('Labor Dashboard'!$C$36:$C$39,MATCH(E103,'Labor Dashboard'!$B$36:$B$39,0)))</f>
        <v>1.0057537399309551</v>
      </c>
      <c r="L103" s="18">
        <f t="shared" si="3"/>
        <v>1</v>
      </c>
      <c r="M103" s="20">
        <f>G103*INDEX(Employees!$E$2:$E$17,MATCH(B103,Employees!$A$2:$A$17,0))</f>
        <v>134.30000000000001</v>
      </c>
    </row>
    <row r="104" spans="1:13" ht="18" x14ac:dyDescent="0.2">
      <c r="A104" s="17">
        <v>990</v>
      </c>
      <c r="B104" s="17">
        <v>19</v>
      </c>
      <c r="C104" s="17" t="s">
        <v>243</v>
      </c>
      <c r="D104" s="17" t="s">
        <v>791</v>
      </c>
      <c r="E104" s="17" t="s">
        <v>792</v>
      </c>
      <c r="F104" s="17">
        <v>408</v>
      </c>
      <c r="G104" s="17">
        <v>7.7</v>
      </c>
      <c r="H104" s="17" t="str">
        <f>INDEX(Employees!$B$2:$B$17,MATCH(B104,Employees!$A$2:$A$17,0))</f>
        <v>Morgan</v>
      </c>
      <c r="I104" s="17" t="str">
        <f>INDEX(Employees!$C$2:$C$17,MATCH(B104,Employees!$A$2:$A$17,0))</f>
        <v>Picker</v>
      </c>
      <c r="J104" s="25">
        <f t="shared" si="2"/>
        <v>52.987012987012989</v>
      </c>
      <c r="K104" s="19">
        <f>IF(J104=0,0,J104/INDEX('Labor Dashboard'!$C$36:$C$39,MATCH(E104,'Labor Dashboard'!$B$36:$B$39,0)))</f>
        <v>0.96340023612750891</v>
      </c>
      <c r="L104" s="18">
        <f t="shared" si="3"/>
        <v>1</v>
      </c>
      <c r="M104" s="20">
        <f>G104*INDEX(Employees!$E$2:$E$17,MATCH(B104,Employees!$A$2:$A$17,0))</f>
        <v>130.9</v>
      </c>
    </row>
    <row r="105" spans="1:13" ht="18" x14ac:dyDescent="0.2">
      <c r="A105" s="17">
        <v>991</v>
      </c>
      <c r="B105" s="17">
        <v>20</v>
      </c>
      <c r="C105" s="17" t="s">
        <v>243</v>
      </c>
      <c r="D105" s="17" t="s">
        <v>791</v>
      </c>
      <c r="E105" s="17" t="s">
        <v>792</v>
      </c>
      <c r="F105" s="17">
        <v>373</v>
      </c>
      <c r="G105" s="17">
        <v>7.1</v>
      </c>
      <c r="H105" s="17" t="str">
        <f>INDEX(Employees!$B$2:$B$17,MATCH(B105,Employees!$A$2:$A$17,0))</f>
        <v>Taylor</v>
      </c>
      <c r="I105" s="17" t="str">
        <f>INDEX(Employees!$C$2:$C$17,MATCH(B105,Employees!$A$2:$A$17,0))</f>
        <v>Picker</v>
      </c>
      <c r="J105" s="25">
        <f t="shared" si="2"/>
        <v>52.535211267605639</v>
      </c>
      <c r="K105" s="19">
        <f>IF(J105=0,0,J105/INDEX('Labor Dashboard'!$C$36:$C$39,MATCH(E105,'Labor Dashboard'!$B$36:$B$39,0)))</f>
        <v>0.95518565941101163</v>
      </c>
      <c r="L105" s="18">
        <f t="shared" si="3"/>
        <v>1</v>
      </c>
      <c r="M105" s="20">
        <f>G105*INDEX(Employees!$E$2:$E$17,MATCH(B105,Employees!$A$2:$A$17,0))</f>
        <v>120.69999999999999</v>
      </c>
    </row>
    <row r="106" spans="1:13" ht="18" x14ac:dyDescent="0.2">
      <c r="A106" s="17">
        <v>992</v>
      </c>
      <c r="B106" s="17">
        <v>22</v>
      </c>
      <c r="C106" s="17" t="s">
        <v>243</v>
      </c>
      <c r="D106" s="17" t="s">
        <v>793</v>
      </c>
      <c r="E106" s="17" t="s">
        <v>794</v>
      </c>
      <c r="F106" s="17">
        <v>348</v>
      </c>
      <c r="G106" s="17">
        <v>7.7</v>
      </c>
      <c r="H106" s="17" t="str">
        <f>INDEX(Employees!$B$2:$B$17,MATCH(B106,Employees!$A$2:$A$17,0))</f>
        <v>Avery</v>
      </c>
      <c r="I106" s="17" t="str">
        <f>INDEX(Employees!$C$2:$C$17,MATCH(B106,Employees!$A$2:$A$17,0))</f>
        <v>Packer</v>
      </c>
      <c r="J106" s="25">
        <f t="shared" si="2"/>
        <v>45.194805194805191</v>
      </c>
      <c r="K106" s="19">
        <f>IF(J106=0,0,J106/INDEX('Labor Dashboard'!$C$36:$C$39,MATCH(E106,'Labor Dashboard'!$B$36:$B$39,0)))</f>
        <v>1.0043290043290043</v>
      </c>
      <c r="L106" s="18">
        <f t="shared" si="3"/>
        <v>1</v>
      </c>
      <c r="M106" s="20">
        <f>G106*INDEX(Employees!$E$2:$E$17,MATCH(B106,Employees!$A$2:$A$17,0))</f>
        <v>130.9</v>
      </c>
    </row>
    <row r="107" spans="1:13" ht="18" x14ac:dyDescent="0.2">
      <c r="A107" s="17">
        <v>993</v>
      </c>
      <c r="B107" s="17">
        <v>23</v>
      </c>
      <c r="C107" s="17" t="s">
        <v>243</v>
      </c>
      <c r="D107" s="17" t="s">
        <v>793</v>
      </c>
      <c r="E107" s="17" t="s">
        <v>794</v>
      </c>
      <c r="F107" s="17">
        <v>339</v>
      </c>
      <c r="G107" s="17">
        <v>6.6</v>
      </c>
      <c r="H107" s="17" t="str">
        <f>INDEX(Employees!$B$2:$B$17,MATCH(B107,Employees!$A$2:$A$17,0))</f>
        <v>Cameron</v>
      </c>
      <c r="I107" s="17" t="str">
        <f>INDEX(Employees!$C$2:$C$17,MATCH(B107,Employees!$A$2:$A$17,0))</f>
        <v>Packer</v>
      </c>
      <c r="J107" s="25">
        <f t="shared" si="2"/>
        <v>51.363636363636367</v>
      </c>
      <c r="K107" s="19">
        <f>IF(J107=0,0,J107/INDEX('Labor Dashboard'!$C$36:$C$39,MATCH(E107,'Labor Dashboard'!$B$36:$B$39,0)))</f>
        <v>1.1414141414141414</v>
      </c>
      <c r="L107" s="18">
        <f t="shared" si="3"/>
        <v>1</v>
      </c>
      <c r="M107" s="20">
        <f>G107*INDEX(Employees!$E$2:$E$17,MATCH(B107,Employees!$A$2:$A$17,0))</f>
        <v>112.19999999999999</v>
      </c>
    </row>
    <row r="108" spans="1:13" ht="18" x14ac:dyDescent="0.2">
      <c r="A108" s="17">
        <v>994</v>
      </c>
      <c r="B108" s="17">
        <v>24</v>
      </c>
      <c r="C108" s="17" t="s">
        <v>243</v>
      </c>
      <c r="D108" s="17" t="s">
        <v>793</v>
      </c>
      <c r="E108" s="17" t="s">
        <v>792</v>
      </c>
      <c r="F108" s="17">
        <v>439</v>
      </c>
      <c r="G108" s="17">
        <v>7.9</v>
      </c>
      <c r="H108" s="17" t="str">
        <f>INDEX(Employees!$B$2:$B$17,MATCH(B108,Employees!$A$2:$A$17,0))</f>
        <v>Dakota</v>
      </c>
      <c r="I108" s="17" t="str">
        <f>INDEX(Employees!$C$2:$C$17,MATCH(B108,Employees!$A$2:$A$17,0))</f>
        <v>Forklift Operator</v>
      </c>
      <c r="J108" s="25">
        <f t="shared" si="2"/>
        <v>55.569620253164551</v>
      </c>
      <c r="K108" s="19">
        <f>IF(J108=0,0,J108/INDEX('Labor Dashboard'!$C$36:$C$39,MATCH(E108,'Labor Dashboard'!$B$36:$B$39,0)))</f>
        <v>1.0103567318757192</v>
      </c>
      <c r="L108" s="18">
        <f t="shared" si="3"/>
        <v>1</v>
      </c>
      <c r="M108" s="20">
        <f>G108*INDEX(Employees!$E$2:$E$17,MATCH(B108,Employees!$A$2:$A$17,0))</f>
        <v>154.05000000000001</v>
      </c>
    </row>
    <row r="109" spans="1:13" ht="18" x14ac:dyDescent="0.2">
      <c r="A109" s="17">
        <v>995</v>
      </c>
      <c r="B109" s="17">
        <v>25</v>
      </c>
      <c r="C109" s="17" t="s">
        <v>243</v>
      </c>
      <c r="D109" s="17" t="s">
        <v>793</v>
      </c>
      <c r="E109" s="17" t="s">
        <v>792</v>
      </c>
      <c r="F109" s="17">
        <v>443</v>
      </c>
      <c r="G109" s="17">
        <v>7.8</v>
      </c>
      <c r="H109" s="17" t="str">
        <f>INDEX(Employees!$B$2:$B$17,MATCH(B109,Employees!$A$2:$A$17,0))</f>
        <v>Hayden</v>
      </c>
      <c r="I109" s="17" t="str">
        <f>INDEX(Employees!$C$2:$C$17,MATCH(B109,Employees!$A$2:$A$17,0))</f>
        <v>Forklift Operator</v>
      </c>
      <c r="J109" s="25">
        <f t="shared" si="2"/>
        <v>56.794871794871796</v>
      </c>
      <c r="K109" s="19">
        <f>IF(J109=0,0,J109/INDEX('Labor Dashboard'!$C$36:$C$39,MATCH(E109,'Labor Dashboard'!$B$36:$B$39,0)))</f>
        <v>1.0326340326340326</v>
      </c>
      <c r="L109" s="18">
        <f t="shared" si="3"/>
        <v>1</v>
      </c>
      <c r="M109" s="20">
        <f>G109*INDEX(Employees!$E$2:$E$17,MATCH(B109,Employees!$A$2:$A$17,0))</f>
        <v>152.1</v>
      </c>
    </row>
    <row r="110" spans="1:13" ht="18" x14ac:dyDescent="0.2">
      <c r="A110" s="17">
        <v>996</v>
      </c>
      <c r="B110" s="17">
        <v>26</v>
      </c>
      <c r="C110" s="17" t="s">
        <v>243</v>
      </c>
      <c r="D110" s="17" t="s">
        <v>793</v>
      </c>
      <c r="E110" s="17" t="s">
        <v>795</v>
      </c>
      <c r="F110" s="17">
        <v>185</v>
      </c>
      <c r="G110" s="17">
        <v>6.7</v>
      </c>
      <c r="H110" s="17" t="str">
        <f>INDEX(Employees!$B$2:$B$17,MATCH(B110,Employees!$A$2:$A$17,0))</f>
        <v>Reese</v>
      </c>
      <c r="I110" s="17" t="str">
        <f>INDEX(Employees!$C$2:$C$17,MATCH(B110,Employees!$A$2:$A$17,0))</f>
        <v>Receiving Clerk</v>
      </c>
      <c r="J110" s="25">
        <f t="shared" si="2"/>
        <v>27.611940298507463</v>
      </c>
      <c r="K110" s="19">
        <f>IF(J110=0,0,J110/INDEX('Labor Dashboard'!$C$36:$C$39,MATCH(E110,'Labor Dashboard'!$B$36:$B$39,0)))</f>
        <v>0.92039800995024879</v>
      </c>
      <c r="L110" s="18">
        <f t="shared" si="3"/>
        <v>1</v>
      </c>
      <c r="M110" s="20">
        <f>G110*INDEX(Employees!$E$2:$E$17,MATCH(B110,Employees!$A$2:$A$17,0))</f>
        <v>120.60000000000001</v>
      </c>
    </row>
    <row r="111" spans="1:13" ht="18" x14ac:dyDescent="0.2">
      <c r="A111" s="17">
        <v>997</v>
      </c>
      <c r="B111" s="17">
        <v>27</v>
      </c>
      <c r="C111" s="17" t="s">
        <v>243</v>
      </c>
      <c r="D111" s="17" t="s">
        <v>791</v>
      </c>
      <c r="E111" s="17" t="s">
        <v>795</v>
      </c>
      <c r="F111" s="17">
        <v>171</v>
      </c>
      <c r="G111" s="17">
        <v>7.1</v>
      </c>
      <c r="H111" s="17" t="str">
        <f>INDEX(Employees!$B$2:$B$17,MATCH(B111,Employees!$A$2:$A$17,0))</f>
        <v>Skyler</v>
      </c>
      <c r="I111" s="17" t="str">
        <f>INDEX(Employees!$C$2:$C$17,MATCH(B111,Employees!$A$2:$A$17,0))</f>
        <v>Receiving Clerk</v>
      </c>
      <c r="J111" s="25">
        <f t="shared" si="2"/>
        <v>24.084507042253524</v>
      </c>
      <c r="K111" s="19">
        <f>IF(J111=0,0,J111/INDEX('Labor Dashboard'!$C$36:$C$39,MATCH(E111,'Labor Dashboard'!$B$36:$B$39,0)))</f>
        <v>0.80281690140845074</v>
      </c>
      <c r="L111" s="18">
        <f t="shared" si="3"/>
        <v>1</v>
      </c>
      <c r="M111" s="20">
        <f>G111*INDEX(Employees!$E$2:$E$17,MATCH(B111,Employees!$A$2:$A$17,0))</f>
        <v>127.8</v>
      </c>
    </row>
    <row r="112" spans="1:13" ht="18" x14ac:dyDescent="0.2">
      <c r="A112" s="17">
        <v>998</v>
      </c>
      <c r="B112" s="17">
        <v>28</v>
      </c>
      <c r="C112" s="17" t="s">
        <v>243</v>
      </c>
      <c r="D112" s="17" t="s">
        <v>793</v>
      </c>
      <c r="E112" s="17" t="s">
        <v>796</v>
      </c>
      <c r="F112" s="17">
        <v>165</v>
      </c>
      <c r="G112" s="17">
        <v>6.6</v>
      </c>
      <c r="H112" s="17" t="str">
        <f>INDEX(Employees!$B$2:$B$17,MATCH(B112,Employees!$A$2:$A$17,0))</f>
        <v>Peyton</v>
      </c>
      <c r="I112" s="17" t="str">
        <f>INDEX(Employees!$C$2:$C$17,MATCH(B112,Employees!$A$2:$A$17,0))</f>
        <v>Cycle Counter</v>
      </c>
      <c r="J112" s="25">
        <f t="shared" si="2"/>
        <v>25</v>
      </c>
      <c r="K112" s="19">
        <f>IF(J112=0,0,J112/INDEX('Labor Dashboard'!$C$36:$C$39,MATCH(E112,'Labor Dashboard'!$B$36:$B$39,0)))</f>
        <v>1</v>
      </c>
      <c r="L112" s="18">
        <f t="shared" si="3"/>
        <v>1</v>
      </c>
      <c r="M112" s="20">
        <f>G112*INDEX(Employees!$E$2:$E$17,MATCH(B112,Employees!$A$2:$A$17,0))</f>
        <v>118.8</v>
      </c>
    </row>
    <row r="113" spans="1:13" ht="18" x14ac:dyDescent="0.2">
      <c r="A113" s="17">
        <v>999</v>
      </c>
      <c r="B113" s="17">
        <v>29</v>
      </c>
      <c r="C113" s="17" t="s">
        <v>243</v>
      </c>
      <c r="D113" s="17" t="s">
        <v>791</v>
      </c>
      <c r="E113" s="17" t="s">
        <v>796</v>
      </c>
      <c r="F113" s="17">
        <v>191</v>
      </c>
      <c r="G113" s="17">
        <v>6.9</v>
      </c>
      <c r="H113" s="17" t="str">
        <f>INDEX(Employees!$B$2:$B$17,MATCH(B113,Employees!$A$2:$A$17,0))</f>
        <v>Rowan</v>
      </c>
      <c r="I113" s="17" t="str">
        <f>INDEX(Employees!$C$2:$C$17,MATCH(B113,Employees!$A$2:$A$17,0))</f>
        <v>Cycle Counter</v>
      </c>
      <c r="J113" s="25">
        <f t="shared" si="2"/>
        <v>27.681159420289852</v>
      </c>
      <c r="K113" s="19">
        <f>IF(J113=0,0,J113/INDEX('Labor Dashboard'!$C$36:$C$39,MATCH(E113,'Labor Dashboard'!$B$36:$B$39,0)))</f>
        <v>1.1072463768115941</v>
      </c>
      <c r="L113" s="18">
        <f t="shared" si="3"/>
        <v>1</v>
      </c>
      <c r="M113" s="20">
        <f>G113*INDEX(Employees!$E$2:$E$17,MATCH(B113,Employees!$A$2:$A$17,0))</f>
        <v>124.2</v>
      </c>
    </row>
    <row r="114" spans="1:13" ht="18" x14ac:dyDescent="0.2">
      <c r="A114" s="17">
        <v>1000</v>
      </c>
      <c r="B114" s="17">
        <v>30</v>
      </c>
      <c r="C114" s="17" t="s">
        <v>243</v>
      </c>
      <c r="D114" s="17" t="s">
        <v>791</v>
      </c>
      <c r="E114" s="17" t="s">
        <v>796</v>
      </c>
      <c r="F114" s="17">
        <v>168</v>
      </c>
      <c r="G114" s="17">
        <v>7.8</v>
      </c>
      <c r="H114" s="17" t="str">
        <f>INDEX(Employees!$B$2:$B$17,MATCH(B114,Employees!$A$2:$A$17,0))</f>
        <v>Emerson</v>
      </c>
      <c r="I114" s="17" t="str">
        <f>INDEX(Employees!$C$2:$C$17,MATCH(B114,Employees!$A$2:$A$17,0))</f>
        <v>Shift Supervisor</v>
      </c>
      <c r="J114" s="25">
        <f t="shared" si="2"/>
        <v>21.53846153846154</v>
      </c>
      <c r="K114" s="19">
        <f>IF(J114=0,0,J114/INDEX('Labor Dashboard'!$C$36:$C$39,MATCH(E114,'Labor Dashboard'!$B$36:$B$39,0)))</f>
        <v>0.86153846153846159</v>
      </c>
      <c r="L114" s="18">
        <f t="shared" si="3"/>
        <v>1</v>
      </c>
      <c r="M114" s="20">
        <f>G114*INDEX(Employees!$E$2:$E$17,MATCH(B114,Employees!$A$2:$A$17,0))</f>
        <v>187.2</v>
      </c>
    </row>
    <row r="115" spans="1:13" ht="18" x14ac:dyDescent="0.2">
      <c r="A115" s="17">
        <v>1001</v>
      </c>
      <c r="B115" s="17">
        <v>31</v>
      </c>
      <c r="C115" s="17" t="s">
        <v>243</v>
      </c>
      <c r="D115" s="17" t="s">
        <v>791</v>
      </c>
      <c r="E115" s="17" t="s">
        <v>796</v>
      </c>
      <c r="F115" s="17">
        <v>193</v>
      </c>
      <c r="G115" s="17">
        <v>7.5</v>
      </c>
      <c r="H115" s="17" t="str">
        <f>INDEX(Employees!$B$2:$B$17,MATCH(B115,Employees!$A$2:$A$17,0))</f>
        <v>Finley</v>
      </c>
      <c r="I115" s="17" t="str">
        <f>INDEX(Employees!$C$2:$C$17,MATCH(B115,Employees!$A$2:$A$17,0))</f>
        <v>Shift Supervisor</v>
      </c>
      <c r="J115" s="25">
        <f t="shared" si="2"/>
        <v>25.733333333333334</v>
      </c>
      <c r="K115" s="19">
        <f>IF(J115=0,0,J115/INDEX('Labor Dashboard'!$C$36:$C$39,MATCH(E115,'Labor Dashboard'!$B$36:$B$39,0)))</f>
        <v>1.0293333333333334</v>
      </c>
      <c r="L115" s="18">
        <f t="shared" si="3"/>
        <v>1</v>
      </c>
      <c r="M115" s="20">
        <f>G115*INDEX(Employees!$E$2:$E$17,MATCH(B115,Employees!$A$2:$A$17,0))</f>
        <v>180</v>
      </c>
    </row>
    <row r="116" spans="1:13" ht="18" x14ac:dyDescent="0.2">
      <c r="A116" s="17">
        <v>1002</v>
      </c>
      <c r="B116" s="17">
        <v>32</v>
      </c>
      <c r="C116" s="17" t="s">
        <v>243</v>
      </c>
      <c r="D116" s="17" t="s">
        <v>791</v>
      </c>
      <c r="E116" s="17" t="s">
        <v>795</v>
      </c>
      <c r="F116" s="17">
        <v>186</v>
      </c>
      <c r="G116" s="17">
        <v>6.5</v>
      </c>
      <c r="H116" s="17" t="str">
        <f>INDEX(Employees!$B$2:$B$17,MATCH(B116,Employees!$A$2:$A$17,0))</f>
        <v>Sawyer</v>
      </c>
      <c r="I116" s="17" t="str">
        <f>INDEX(Employees!$C$2:$C$17,MATCH(B116,Employees!$A$2:$A$17,0))</f>
        <v>Shift Supervisor</v>
      </c>
      <c r="J116" s="25">
        <f t="shared" si="2"/>
        <v>28.615384615384617</v>
      </c>
      <c r="K116" s="19">
        <f>IF(J116=0,0,J116/INDEX('Labor Dashboard'!$C$36:$C$39,MATCH(E116,'Labor Dashboard'!$B$36:$B$39,0)))</f>
        <v>0.9538461538461539</v>
      </c>
      <c r="L116" s="18">
        <f t="shared" si="3"/>
        <v>1</v>
      </c>
      <c r="M116" s="20">
        <f>G116*INDEX(Employees!$E$2:$E$17,MATCH(B116,Employees!$A$2:$A$17,0))</f>
        <v>156</v>
      </c>
    </row>
    <row r="117" spans="1:13" ht="18" x14ac:dyDescent="0.2">
      <c r="A117" s="17">
        <v>1003</v>
      </c>
      <c r="B117" s="17">
        <v>19</v>
      </c>
      <c r="C117" s="17" t="s">
        <v>242</v>
      </c>
      <c r="D117" s="17" t="s">
        <v>793</v>
      </c>
      <c r="E117" s="17" t="s">
        <v>792</v>
      </c>
      <c r="F117" s="17">
        <v>414</v>
      </c>
      <c r="G117" s="17">
        <v>6.9</v>
      </c>
      <c r="H117" s="17" t="str">
        <f>INDEX(Employees!$B$2:$B$17,MATCH(B117,Employees!$A$2:$A$17,0))</f>
        <v>Morgan</v>
      </c>
      <c r="I117" s="17" t="str">
        <f>INDEX(Employees!$C$2:$C$17,MATCH(B117,Employees!$A$2:$A$17,0))</f>
        <v>Picker</v>
      </c>
      <c r="J117" s="25">
        <f t="shared" si="2"/>
        <v>60</v>
      </c>
      <c r="K117" s="19">
        <f>IF(J117=0,0,J117/INDEX('Labor Dashboard'!$C$36:$C$39,MATCH(E117,'Labor Dashboard'!$B$36:$B$39,0)))</f>
        <v>1.0909090909090908</v>
      </c>
      <c r="L117" s="18">
        <f t="shared" si="3"/>
        <v>1</v>
      </c>
      <c r="M117" s="20">
        <f>G117*INDEX(Employees!$E$2:$E$17,MATCH(B117,Employees!$A$2:$A$17,0))</f>
        <v>117.30000000000001</v>
      </c>
    </row>
    <row r="118" spans="1:13" ht="18" x14ac:dyDescent="0.2">
      <c r="A118" s="17">
        <v>1004</v>
      </c>
      <c r="B118" s="17">
        <v>21</v>
      </c>
      <c r="C118" s="17" t="s">
        <v>242</v>
      </c>
      <c r="D118" s="17" t="s">
        <v>793</v>
      </c>
      <c r="E118" s="17" t="s">
        <v>794</v>
      </c>
      <c r="F118" s="17">
        <v>267</v>
      </c>
      <c r="G118" s="17">
        <v>6.8</v>
      </c>
      <c r="H118" s="17" t="str">
        <f>INDEX(Employees!$B$2:$B$17,MATCH(B118,Employees!$A$2:$A$17,0))</f>
        <v>Riley</v>
      </c>
      <c r="I118" s="17" t="str">
        <f>INDEX(Employees!$C$2:$C$17,MATCH(B118,Employees!$A$2:$A$17,0))</f>
        <v>Packer</v>
      </c>
      <c r="J118" s="25">
        <f t="shared" si="2"/>
        <v>39.264705882352942</v>
      </c>
      <c r="K118" s="19">
        <f>IF(J118=0,0,J118/INDEX('Labor Dashboard'!$C$36:$C$39,MATCH(E118,'Labor Dashboard'!$B$36:$B$39,0)))</f>
        <v>0.87254901960784315</v>
      </c>
      <c r="L118" s="18">
        <f t="shared" si="3"/>
        <v>1</v>
      </c>
      <c r="M118" s="20">
        <f>G118*INDEX(Employees!$E$2:$E$17,MATCH(B118,Employees!$A$2:$A$17,0))</f>
        <v>115.6</v>
      </c>
    </row>
    <row r="119" spans="1:13" ht="18" x14ac:dyDescent="0.2">
      <c r="A119" s="17">
        <v>1005</v>
      </c>
      <c r="B119" s="17">
        <v>23</v>
      </c>
      <c r="C119" s="17" t="s">
        <v>242</v>
      </c>
      <c r="D119" s="17" t="s">
        <v>793</v>
      </c>
      <c r="E119" s="17" t="s">
        <v>794</v>
      </c>
      <c r="F119" s="17">
        <v>394</v>
      </c>
      <c r="G119" s="17">
        <v>8.3000000000000007</v>
      </c>
      <c r="H119" s="17" t="str">
        <f>INDEX(Employees!$B$2:$B$17,MATCH(B119,Employees!$A$2:$A$17,0))</f>
        <v>Cameron</v>
      </c>
      <c r="I119" s="17" t="str">
        <f>INDEX(Employees!$C$2:$C$17,MATCH(B119,Employees!$A$2:$A$17,0))</f>
        <v>Packer</v>
      </c>
      <c r="J119" s="25">
        <f t="shared" si="2"/>
        <v>47.469879518072283</v>
      </c>
      <c r="K119" s="19">
        <f>IF(J119=0,0,J119/INDEX('Labor Dashboard'!$C$36:$C$39,MATCH(E119,'Labor Dashboard'!$B$36:$B$39,0)))</f>
        <v>1.0548862115127173</v>
      </c>
      <c r="L119" s="18">
        <f t="shared" si="3"/>
        <v>1</v>
      </c>
      <c r="M119" s="20">
        <f>G119*INDEX(Employees!$E$2:$E$17,MATCH(B119,Employees!$A$2:$A$17,0))</f>
        <v>141.10000000000002</v>
      </c>
    </row>
    <row r="120" spans="1:13" ht="18" x14ac:dyDescent="0.2">
      <c r="A120" s="17">
        <v>1006</v>
      </c>
      <c r="B120" s="17">
        <v>25</v>
      </c>
      <c r="C120" s="17" t="s">
        <v>242</v>
      </c>
      <c r="D120" s="17" t="s">
        <v>793</v>
      </c>
      <c r="E120" s="17" t="s">
        <v>795</v>
      </c>
      <c r="F120" s="17">
        <v>215</v>
      </c>
      <c r="G120" s="17">
        <v>7.9</v>
      </c>
      <c r="H120" s="17" t="str">
        <f>INDEX(Employees!$B$2:$B$17,MATCH(B120,Employees!$A$2:$A$17,0))</f>
        <v>Hayden</v>
      </c>
      <c r="I120" s="17" t="str">
        <f>INDEX(Employees!$C$2:$C$17,MATCH(B120,Employees!$A$2:$A$17,0))</f>
        <v>Forklift Operator</v>
      </c>
      <c r="J120" s="25">
        <f t="shared" si="2"/>
        <v>27.215189873417721</v>
      </c>
      <c r="K120" s="19">
        <f>IF(J120=0,0,J120/INDEX('Labor Dashboard'!$C$36:$C$39,MATCH(E120,'Labor Dashboard'!$B$36:$B$39,0)))</f>
        <v>0.90717299578059074</v>
      </c>
      <c r="L120" s="18">
        <f t="shared" si="3"/>
        <v>1</v>
      </c>
      <c r="M120" s="20">
        <f>G120*INDEX(Employees!$E$2:$E$17,MATCH(B120,Employees!$A$2:$A$17,0))</f>
        <v>154.05000000000001</v>
      </c>
    </row>
    <row r="121" spans="1:13" ht="18" x14ac:dyDescent="0.2">
      <c r="A121" s="17">
        <v>1007</v>
      </c>
      <c r="B121" s="17">
        <v>26</v>
      </c>
      <c r="C121" s="17" t="s">
        <v>242</v>
      </c>
      <c r="D121" s="17" t="s">
        <v>793</v>
      </c>
      <c r="E121" s="17" t="s">
        <v>795</v>
      </c>
      <c r="F121" s="17">
        <v>225</v>
      </c>
      <c r="G121" s="17">
        <v>8.1</v>
      </c>
      <c r="H121" s="17" t="str">
        <f>INDEX(Employees!$B$2:$B$17,MATCH(B121,Employees!$A$2:$A$17,0))</f>
        <v>Reese</v>
      </c>
      <c r="I121" s="17" t="str">
        <f>INDEX(Employees!$C$2:$C$17,MATCH(B121,Employees!$A$2:$A$17,0))</f>
        <v>Receiving Clerk</v>
      </c>
      <c r="J121" s="25">
        <f t="shared" si="2"/>
        <v>27.777777777777779</v>
      </c>
      <c r="K121" s="19">
        <f>IF(J121=0,0,J121/INDEX('Labor Dashboard'!$C$36:$C$39,MATCH(E121,'Labor Dashboard'!$B$36:$B$39,0)))</f>
        <v>0.92592592592592593</v>
      </c>
      <c r="L121" s="18">
        <f t="shared" si="3"/>
        <v>1</v>
      </c>
      <c r="M121" s="20">
        <f>G121*INDEX(Employees!$E$2:$E$17,MATCH(B121,Employees!$A$2:$A$17,0))</f>
        <v>145.79999999999998</v>
      </c>
    </row>
    <row r="122" spans="1:13" ht="18" x14ac:dyDescent="0.2">
      <c r="A122" s="17">
        <v>1008</v>
      </c>
      <c r="B122" s="17">
        <v>27</v>
      </c>
      <c r="C122" s="17" t="s">
        <v>242</v>
      </c>
      <c r="D122" s="17" t="s">
        <v>791</v>
      </c>
      <c r="E122" s="17" t="s">
        <v>795</v>
      </c>
      <c r="F122" s="17">
        <v>218</v>
      </c>
      <c r="G122" s="17">
        <v>8.3000000000000007</v>
      </c>
      <c r="H122" s="17" t="str">
        <f>INDEX(Employees!$B$2:$B$17,MATCH(B122,Employees!$A$2:$A$17,0))</f>
        <v>Skyler</v>
      </c>
      <c r="I122" s="17" t="str">
        <f>INDEX(Employees!$C$2:$C$17,MATCH(B122,Employees!$A$2:$A$17,0))</f>
        <v>Receiving Clerk</v>
      </c>
      <c r="J122" s="25">
        <f t="shared" si="2"/>
        <v>26.265060240963852</v>
      </c>
      <c r="K122" s="19">
        <f>IF(J122=0,0,J122/INDEX('Labor Dashboard'!$C$36:$C$39,MATCH(E122,'Labor Dashboard'!$B$36:$B$39,0)))</f>
        <v>0.87550200803212841</v>
      </c>
      <c r="L122" s="18">
        <f t="shared" si="3"/>
        <v>1</v>
      </c>
      <c r="M122" s="20">
        <f>G122*INDEX(Employees!$E$2:$E$17,MATCH(B122,Employees!$A$2:$A$17,0))</f>
        <v>149.4</v>
      </c>
    </row>
    <row r="123" spans="1:13" ht="18" x14ac:dyDescent="0.2">
      <c r="A123" s="17">
        <v>1009</v>
      </c>
      <c r="B123" s="17">
        <v>29</v>
      </c>
      <c r="C123" s="17" t="s">
        <v>242</v>
      </c>
      <c r="D123" s="17" t="s">
        <v>791</v>
      </c>
      <c r="E123" s="17" t="s">
        <v>796</v>
      </c>
      <c r="F123" s="17">
        <v>198</v>
      </c>
      <c r="G123" s="17">
        <v>7.8</v>
      </c>
      <c r="H123" s="17" t="str">
        <f>INDEX(Employees!$B$2:$B$17,MATCH(B123,Employees!$A$2:$A$17,0))</f>
        <v>Rowan</v>
      </c>
      <c r="I123" s="17" t="str">
        <f>INDEX(Employees!$C$2:$C$17,MATCH(B123,Employees!$A$2:$A$17,0))</f>
        <v>Cycle Counter</v>
      </c>
      <c r="J123" s="25">
        <f t="shared" si="2"/>
        <v>25.384615384615387</v>
      </c>
      <c r="K123" s="19">
        <f>IF(J123=0,0,J123/INDEX('Labor Dashboard'!$C$36:$C$39,MATCH(E123,'Labor Dashboard'!$B$36:$B$39,0)))</f>
        <v>1.0153846153846156</v>
      </c>
      <c r="L123" s="18">
        <f t="shared" si="3"/>
        <v>1</v>
      </c>
      <c r="M123" s="20">
        <f>G123*INDEX(Employees!$E$2:$E$17,MATCH(B123,Employees!$A$2:$A$17,0))</f>
        <v>140.4</v>
      </c>
    </row>
    <row r="124" spans="1:13" ht="18" x14ac:dyDescent="0.2">
      <c r="A124" s="17">
        <v>1010</v>
      </c>
      <c r="B124" s="17">
        <v>30</v>
      </c>
      <c r="C124" s="17" t="s">
        <v>242</v>
      </c>
      <c r="D124" s="17" t="s">
        <v>793</v>
      </c>
      <c r="E124" s="17" t="s">
        <v>794</v>
      </c>
      <c r="F124" s="17">
        <v>259</v>
      </c>
      <c r="G124" s="17">
        <v>7.5</v>
      </c>
      <c r="H124" s="17" t="str">
        <f>INDEX(Employees!$B$2:$B$17,MATCH(B124,Employees!$A$2:$A$17,0))</f>
        <v>Emerson</v>
      </c>
      <c r="I124" s="17" t="str">
        <f>INDEX(Employees!$C$2:$C$17,MATCH(B124,Employees!$A$2:$A$17,0))</f>
        <v>Shift Supervisor</v>
      </c>
      <c r="J124" s="25">
        <f t="shared" si="2"/>
        <v>34.533333333333331</v>
      </c>
      <c r="K124" s="19">
        <f>IF(J124=0,0,J124/INDEX('Labor Dashboard'!$C$36:$C$39,MATCH(E124,'Labor Dashboard'!$B$36:$B$39,0)))</f>
        <v>0.76740740740740732</v>
      </c>
      <c r="L124" s="18">
        <f t="shared" si="3"/>
        <v>1</v>
      </c>
      <c r="M124" s="20">
        <f>G124*INDEX(Employees!$E$2:$E$17,MATCH(B124,Employees!$A$2:$A$17,0))</f>
        <v>180</v>
      </c>
    </row>
    <row r="125" spans="1:13" ht="18" x14ac:dyDescent="0.2">
      <c r="A125" s="17">
        <v>1011</v>
      </c>
      <c r="B125" s="17">
        <v>31</v>
      </c>
      <c r="C125" s="17" t="s">
        <v>242</v>
      </c>
      <c r="D125" s="17" t="s">
        <v>791</v>
      </c>
      <c r="E125" s="17" t="s">
        <v>794</v>
      </c>
      <c r="F125" s="17">
        <v>388</v>
      </c>
      <c r="G125" s="17">
        <v>7.4</v>
      </c>
      <c r="H125" s="17" t="str">
        <f>INDEX(Employees!$B$2:$B$17,MATCH(B125,Employees!$A$2:$A$17,0))</f>
        <v>Finley</v>
      </c>
      <c r="I125" s="17" t="str">
        <f>INDEX(Employees!$C$2:$C$17,MATCH(B125,Employees!$A$2:$A$17,0))</f>
        <v>Shift Supervisor</v>
      </c>
      <c r="J125" s="25">
        <f t="shared" si="2"/>
        <v>52.432432432432428</v>
      </c>
      <c r="K125" s="19">
        <f>IF(J125=0,0,J125/INDEX('Labor Dashboard'!$C$36:$C$39,MATCH(E125,'Labor Dashboard'!$B$36:$B$39,0)))</f>
        <v>1.1651651651651651</v>
      </c>
      <c r="L125" s="18">
        <f t="shared" si="3"/>
        <v>1</v>
      </c>
      <c r="M125" s="20">
        <f>G125*INDEX(Employees!$E$2:$E$17,MATCH(B125,Employees!$A$2:$A$17,0))</f>
        <v>177.60000000000002</v>
      </c>
    </row>
    <row r="126" spans="1:13" ht="18" x14ac:dyDescent="0.2">
      <c r="A126" s="17">
        <v>1012</v>
      </c>
      <c r="B126" s="17">
        <v>32</v>
      </c>
      <c r="C126" s="17" t="s">
        <v>242</v>
      </c>
      <c r="D126" s="17" t="s">
        <v>793</v>
      </c>
      <c r="E126" s="17" t="s">
        <v>792</v>
      </c>
      <c r="F126" s="17">
        <v>349</v>
      </c>
      <c r="G126" s="17">
        <v>6.9</v>
      </c>
      <c r="H126" s="17" t="str">
        <f>INDEX(Employees!$B$2:$B$17,MATCH(B126,Employees!$A$2:$A$17,0))</f>
        <v>Sawyer</v>
      </c>
      <c r="I126" s="17" t="str">
        <f>INDEX(Employees!$C$2:$C$17,MATCH(B126,Employees!$A$2:$A$17,0))</f>
        <v>Shift Supervisor</v>
      </c>
      <c r="J126" s="25">
        <f t="shared" si="2"/>
        <v>50.579710144927532</v>
      </c>
      <c r="K126" s="19">
        <f>IF(J126=0,0,J126/INDEX('Labor Dashboard'!$C$36:$C$39,MATCH(E126,'Labor Dashboard'!$B$36:$B$39,0)))</f>
        <v>0.91963109354413697</v>
      </c>
      <c r="L126" s="18">
        <f t="shared" si="3"/>
        <v>1</v>
      </c>
      <c r="M126" s="20">
        <f>G126*INDEX(Employees!$E$2:$E$17,MATCH(B126,Employees!$A$2:$A$17,0))</f>
        <v>165.60000000000002</v>
      </c>
    </row>
    <row r="127" spans="1:13" ht="18" x14ac:dyDescent="0.2">
      <c r="A127" s="17">
        <v>1013</v>
      </c>
      <c r="B127" s="17">
        <v>17</v>
      </c>
      <c r="C127" s="17" t="s">
        <v>233</v>
      </c>
      <c r="D127" s="17" t="s">
        <v>793</v>
      </c>
      <c r="E127" s="17" t="s">
        <v>792</v>
      </c>
      <c r="F127" s="17">
        <v>422</v>
      </c>
      <c r="G127" s="17">
        <v>8</v>
      </c>
      <c r="H127" s="17" t="str">
        <f>INDEX(Employees!$B$2:$B$17,MATCH(B127,Employees!$A$2:$A$17,0))</f>
        <v>Jordan</v>
      </c>
      <c r="I127" s="17" t="str">
        <f>INDEX(Employees!$C$2:$C$17,MATCH(B127,Employees!$A$2:$A$17,0))</f>
        <v>Picker</v>
      </c>
      <c r="J127" s="25">
        <f t="shared" si="2"/>
        <v>52.75</v>
      </c>
      <c r="K127" s="19">
        <f>IF(J127=0,0,J127/INDEX('Labor Dashboard'!$C$36:$C$39,MATCH(E127,'Labor Dashboard'!$B$36:$B$39,0)))</f>
        <v>0.95909090909090911</v>
      </c>
      <c r="L127" s="18">
        <f t="shared" si="3"/>
        <v>1</v>
      </c>
      <c r="M127" s="20">
        <f>G127*INDEX(Employees!$E$2:$E$17,MATCH(B127,Employees!$A$2:$A$17,0))</f>
        <v>136</v>
      </c>
    </row>
    <row r="128" spans="1:13" ht="18" x14ac:dyDescent="0.2">
      <c r="A128" s="17">
        <v>1014</v>
      </c>
      <c r="B128" s="17">
        <v>18</v>
      </c>
      <c r="C128" s="17" t="s">
        <v>233</v>
      </c>
      <c r="D128" s="17" t="s">
        <v>793</v>
      </c>
      <c r="E128" s="17" t="s">
        <v>792</v>
      </c>
      <c r="F128" s="17">
        <v>375</v>
      </c>
      <c r="G128" s="17">
        <v>6.5</v>
      </c>
      <c r="H128" s="17" t="str">
        <f>INDEX(Employees!$B$2:$B$17,MATCH(B128,Employees!$A$2:$A$17,0))</f>
        <v>Casey</v>
      </c>
      <c r="I128" s="17" t="str">
        <f>INDEX(Employees!$C$2:$C$17,MATCH(B128,Employees!$A$2:$A$17,0))</f>
        <v>Picker</v>
      </c>
      <c r="J128" s="25">
        <f t="shared" si="2"/>
        <v>57.692307692307693</v>
      </c>
      <c r="K128" s="19">
        <f>IF(J128=0,0,J128/INDEX('Labor Dashboard'!$C$36:$C$39,MATCH(E128,'Labor Dashboard'!$B$36:$B$39,0)))</f>
        <v>1.048951048951049</v>
      </c>
      <c r="L128" s="18">
        <f t="shared" si="3"/>
        <v>1</v>
      </c>
      <c r="M128" s="20">
        <f>G128*INDEX(Employees!$E$2:$E$17,MATCH(B128,Employees!$A$2:$A$17,0))</f>
        <v>110.5</v>
      </c>
    </row>
    <row r="129" spans="1:13" ht="18" x14ac:dyDescent="0.2">
      <c r="A129" s="17">
        <v>1015</v>
      </c>
      <c r="B129" s="17">
        <v>19</v>
      </c>
      <c r="C129" s="17" t="s">
        <v>233</v>
      </c>
      <c r="D129" s="17" t="s">
        <v>793</v>
      </c>
      <c r="E129" s="17" t="s">
        <v>792</v>
      </c>
      <c r="F129" s="17">
        <v>433</v>
      </c>
      <c r="G129" s="17">
        <v>7.8</v>
      </c>
      <c r="H129" s="17" t="str">
        <f>INDEX(Employees!$B$2:$B$17,MATCH(B129,Employees!$A$2:$A$17,0))</f>
        <v>Morgan</v>
      </c>
      <c r="I129" s="17" t="str">
        <f>INDEX(Employees!$C$2:$C$17,MATCH(B129,Employees!$A$2:$A$17,0))</f>
        <v>Picker</v>
      </c>
      <c r="J129" s="25">
        <f t="shared" si="2"/>
        <v>55.512820512820511</v>
      </c>
      <c r="K129" s="19">
        <f>IF(J129=0,0,J129/INDEX('Labor Dashboard'!$C$36:$C$39,MATCH(E129,'Labor Dashboard'!$B$36:$B$39,0)))</f>
        <v>1.0093240093240092</v>
      </c>
      <c r="L129" s="18">
        <f t="shared" si="3"/>
        <v>1</v>
      </c>
      <c r="M129" s="20">
        <f>G129*INDEX(Employees!$E$2:$E$17,MATCH(B129,Employees!$A$2:$A$17,0))</f>
        <v>132.6</v>
      </c>
    </row>
    <row r="130" spans="1:13" ht="18" x14ac:dyDescent="0.2">
      <c r="A130" s="17">
        <v>1016</v>
      </c>
      <c r="B130" s="17">
        <v>20</v>
      </c>
      <c r="C130" s="17" t="s">
        <v>233</v>
      </c>
      <c r="D130" s="17" t="s">
        <v>793</v>
      </c>
      <c r="E130" s="17" t="s">
        <v>792</v>
      </c>
      <c r="F130" s="17">
        <v>427</v>
      </c>
      <c r="G130" s="17">
        <v>7.6</v>
      </c>
      <c r="H130" s="17" t="str">
        <f>INDEX(Employees!$B$2:$B$17,MATCH(B130,Employees!$A$2:$A$17,0))</f>
        <v>Taylor</v>
      </c>
      <c r="I130" s="17" t="str">
        <f>INDEX(Employees!$C$2:$C$17,MATCH(B130,Employees!$A$2:$A$17,0))</f>
        <v>Picker</v>
      </c>
      <c r="J130" s="25">
        <f t="shared" ref="J130:J193" si="4">IF(G130=0,0,F130/G130)</f>
        <v>56.184210526315795</v>
      </c>
      <c r="K130" s="19">
        <f>IF(J130=0,0,J130/INDEX('Labor Dashboard'!$C$36:$C$39,MATCH(E130,'Labor Dashboard'!$B$36:$B$39,0)))</f>
        <v>1.0215311004784691</v>
      </c>
      <c r="L130" s="18">
        <f t="shared" ref="L130:L193" si="5">INT((DATEVALUE(C130)-DATE(2026,4,6))/7)</f>
        <v>1</v>
      </c>
      <c r="M130" s="20">
        <f>G130*INDEX(Employees!$E$2:$E$17,MATCH(B130,Employees!$A$2:$A$17,0))</f>
        <v>129.19999999999999</v>
      </c>
    </row>
    <row r="131" spans="1:13" ht="18" x14ac:dyDescent="0.2">
      <c r="A131" s="17">
        <v>1017</v>
      </c>
      <c r="B131" s="17">
        <v>21</v>
      </c>
      <c r="C131" s="17" t="s">
        <v>233</v>
      </c>
      <c r="D131" s="17" t="s">
        <v>791</v>
      </c>
      <c r="E131" s="17" t="s">
        <v>794</v>
      </c>
      <c r="F131" s="17">
        <v>313</v>
      </c>
      <c r="G131" s="17">
        <v>8.1</v>
      </c>
      <c r="H131" s="17" t="str">
        <f>INDEX(Employees!$B$2:$B$17,MATCH(B131,Employees!$A$2:$A$17,0))</f>
        <v>Riley</v>
      </c>
      <c r="I131" s="17" t="str">
        <f>INDEX(Employees!$C$2:$C$17,MATCH(B131,Employees!$A$2:$A$17,0))</f>
        <v>Packer</v>
      </c>
      <c r="J131" s="25">
        <f t="shared" si="4"/>
        <v>38.641975308641975</v>
      </c>
      <c r="K131" s="19">
        <f>IF(J131=0,0,J131/INDEX('Labor Dashboard'!$C$36:$C$39,MATCH(E131,'Labor Dashboard'!$B$36:$B$39,0)))</f>
        <v>0.85871056241426613</v>
      </c>
      <c r="L131" s="18">
        <f t="shared" si="5"/>
        <v>1</v>
      </c>
      <c r="M131" s="20">
        <f>G131*INDEX(Employees!$E$2:$E$17,MATCH(B131,Employees!$A$2:$A$17,0))</f>
        <v>137.69999999999999</v>
      </c>
    </row>
    <row r="132" spans="1:13" ht="18" x14ac:dyDescent="0.2">
      <c r="A132" s="17">
        <v>1018</v>
      </c>
      <c r="B132" s="17">
        <v>22</v>
      </c>
      <c r="C132" s="17" t="s">
        <v>233</v>
      </c>
      <c r="D132" s="17" t="s">
        <v>791</v>
      </c>
      <c r="E132" s="17" t="s">
        <v>794</v>
      </c>
      <c r="F132" s="17">
        <v>347</v>
      </c>
      <c r="G132" s="17">
        <v>6.6</v>
      </c>
      <c r="H132" s="17" t="str">
        <f>INDEX(Employees!$B$2:$B$17,MATCH(B132,Employees!$A$2:$A$17,0))</f>
        <v>Avery</v>
      </c>
      <c r="I132" s="17" t="str">
        <f>INDEX(Employees!$C$2:$C$17,MATCH(B132,Employees!$A$2:$A$17,0))</f>
        <v>Packer</v>
      </c>
      <c r="J132" s="25">
        <f t="shared" si="4"/>
        <v>52.575757575757578</v>
      </c>
      <c r="K132" s="19">
        <f>IF(J132=0,0,J132/INDEX('Labor Dashboard'!$C$36:$C$39,MATCH(E132,'Labor Dashboard'!$B$36:$B$39,0)))</f>
        <v>1.1683501683501685</v>
      </c>
      <c r="L132" s="18">
        <f t="shared" si="5"/>
        <v>1</v>
      </c>
      <c r="M132" s="20">
        <f>G132*INDEX(Employees!$E$2:$E$17,MATCH(B132,Employees!$A$2:$A$17,0))</f>
        <v>112.19999999999999</v>
      </c>
    </row>
    <row r="133" spans="1:13" ht="18" x14ac:dyDescent="0.2">
      <c r="A133" s="17">
        <v>1019</v>
      </c>
      <c r="B133" s="17">
        <v>23</v>
      </c>
      <c r="C133" s="17" t="s">
        <v>233</v>
      </c>
      <c r="D133" s="17" t="s">
        <v>791</v>
      </c>
      <c r="E133" s="17" t="s">
        <v>794</v>
      </c>
      <c r="F133" s="17">
        <v>378</v>
      </c>
      <c r="G133" s="17">
        <v>8.1</v>
      </c>
      <c r="H133" s="17" t="str">
        <f>INDEX(Employees!$B$2:$B$17,MATCH(B133,Employees!$A$2:$A$17,0))</f>
        <v>Cameron</v>
      </c>
      <c r="I133" s="17" t="str">
        <f>INDEX(Employees!$C$2:$C$17,MATCH(B133,Employees!$A$2:$A$17,0))</f>
        <v>Packer</v>
      </c>
      <c r="J133" s="25">
        <f t="shared" si="4"/>
        <v>46.666666666666671</v>
      </c>
      <c r="K133" s="19">
        <f>IF(J133=0,0,J133/INDEX('Labor Dashboard'!$C$36:$C$39,MATCH(E133,'Labor Dashboard'!$B$36:$B$39,0)))</f>
        <v>1.0370370370370372</v>
      </c>
      <c r="L133" s="18">
        <f t="shared" si="5"/>
        <v>1</v>
      </c>
      <c r="M133" s="20">
        <f>G133*INDEX(Employees!$E$2:$E$17,MATCH(B133,Employees!$A$2:$A$17,0))</f>
        <v>137.69999999999999</v>
      </c>
    </row>
    <row r="134" spans="1:13" ht="18" x14ac:dyDescent="0.2">
      <c r="A134" s="17">
        <v>1020</v>
      </c>
      <c r="B134" s="17">
        <v>24</v>
      </c>
      <c r="C134" s="17" t="s">
        <v>233</v>
      </c>
      <c r="D134" s="17" t="s">
        <v>791</v>
      </c>
      <c r="E134" s="17" t="s">
        <v>795</v>
      </c>
      <c r="F134" s="17">
        <v>253</v>
      </c>
      <c r="G134" s="17">
        <v>8.1999999999999993</v>
      </c>
      <c r="H134" s="17" t="str">
        <f>INDEX(Employees!$B$2:$B$17,MATCH(B134,Employees!$A$2:$A$17,0))</f>
        <v>Dakota</v>
      </c>
      <c r="I134" s="17" t="str">
        <f>INDEX(Employees!$C$2:$C$17,MATCH(B134,Employees!$A$2:$A$17,0))</f>
        <v>Forklift Operator</v>
      </c>
      <c r="J134" s="25">
        <f t="shared" si="4"/>
        <v>30.853658536585368</v>
      </c>
      <c r="K134" s="19">
        <f>IF(J134=0,0,J134/INDEX('Labor Dashboard'!$C$36:$C$39,MATCH(E134,'Labor Dashboard'!$B$36:$B$39,0)))</f>
        <v>1.0284552845528456</v>
      </c>
      <c r="L134" s="18">
        <f t="shared" si="5"/>
        <v>1</v>
      </c>
      <c r="M134" s="20">
        <f>G134*INDEX(Employees!$E$2:$E$17,MATCH(B134,Employees!$A$2:$A$17,0))</f>
        <v>159.89999999999998</v>
      </c>
    </row>
    <row r="135" spans="1:13" ht="18" x14ac:dyDescent="0.2">
      <c r="A135" s="17">
        <v>1021</v>
      </c>
      <c r="B135" s="17">
        <v>25</v>
      </c>
      <c r="C135" s="17" t="s">
        <v>233</v>
      </c>
      <c r="D135" s="17" t="s">
        <v>791</v>
      </c>
      <c r="E135" s="17" t="s">
        <v>795</v>
      </c>
      <c r="F135" s="17">
        <v>214</v>
      </c>
      <c r="G135" s="17">
        <v>6.8</v>
      </c>
      <c r="H135" s="17" t="str">
        <f>INDEX(Employees!$B$2:$B$17,MATCH(B135,Employees!$A$2:$A$17,0))</f>
        <v>Hayden</v>
      </c>
      <c r="I135" s="17" t="str">
        <f>INDEX(Employees!$C$2:$C$17,MATCH(B135,Employees!$A$2:$A$17,0))</f>
        <v>Forklift Operator</v>
      </c>
      <c r="J135" s="25">
        <f t="shared" si="4"/>
        <v>31.47058823529412</v>
      </c>
      <c r="K135" s="19">
        <f>IF(J135=0,0,J135/INDEX('Labor Dashboard'!$C$36:$C$39,MATCH(E135,'Labor Dashboard'!$B$36:$B$39,0)))</f>
        <v>1.0490196078431373</v>
      </c>
      <c r="L135" s="18">
        <f t="shared" si="5"/>
        <v>1</v>
      </c>
      <c r="M135" s="20">
        <f>G135*INDEX(Employees!$E$2:$E$17,MATCH(B135,Employees!$A$2:$A$17,0))</f>
        <v>132.6</v>
      </c>
    </row>
    <row r="136" spans="1:13" ht="18" x14ac:dyDescent="0.2">
      <c r="A136" s="17">
        <v>1022</v>
      </c>
      <c r="B136" s="17">
        <v>26</v>
      </c>
      <c r="C136" s="17" t="s">
        <v>233</v>
      </c>
      <c r="D136" s="17" t="s">
        <v>793</v>
      </c>
      <c r="E136" s="17" t="s">
        <v>795</v>
      </c>
      <c r="F136" s="17">
        <v>212</v>
      </c>
      <c r="G136" s="17">
        <v>8</v>
      </c>
      <c r="H136" s="17" t="str">
        <f>INDEX(Employees!$B$2:$B$17,MATCH(B136,Employees!$A$2:$A$17,0))</f>
        <v>Reese</v>
      </c>
      <c r="I136" s="17" t="str">
        <f>INDEX(Employees!$C$2:$C$17,MATCH(B136,Employees!$A$2:$A$17,0))</f>
        <v>Receiving Clerk</v>
      </c>
      <c r="J136" s="25">
        <f t="shared" si="4"/>
        <v>26.5</v>
      </c>
      <c r="K136" s="19">
        <f>IF(J136=0,0,J136/INDEX('Labor Dashboard'!$C$36:$C$39,MATCH(E136,'Labor Dashboard'!$B$36:$B$39,0)))</f>
        <v>0.8833333333333333</v>
      </c>
      <c r="L136" s="18">
        <f t="shared" si="5"/>
        <v>1</v>
      </c>
      <c r="M136" s="20">
        <f>G136*INDEX(Employees!$E$2:$E$17,MATCH(B136,Employees!$A$2:$A$17,0))</f>
        <v>144</v>
      </c>
    </row>
    <row r="137" spans="1:13" ht="18" x14ac:dyDescent="0.2">
      <c r="A137" s="17">
        <v>1023</v>
      </c>
      <c r="B137" s="17">
        <v>27</v>
      </c>
      <c r="C137" s="17" t="s">
        <v>233</v>
      </c>
      <c r="D137" s="17" t="s">
        <v>793</v>
      </c>
      <c r="E137" s="17" t="s">
        <v>795</v>
      </c>
      <c r="F137" s="17">
        <v>166</v>
      </c>
      <c r="G137" s="17">
        <v>7</v>
      </c>
      <c r="H137" s="17" t="str">
        <f>INDEX(Employees!$B$2:$B$17,MATCH(B137,Employees!$A$2:$A$17,0))</f>
        <v>Skyler</v>
      </c>
      <c r="I137" s="17" t="str">
        <f>INDEX(Employees!$C$2:$C$17,MATCH(B137,Employees!$A$2:$A$17,0))</f>
        <v>Receiving Clerk</v>
      </c>
      <c r="J137" s="25">
        <f t="shared" si="4"/>
        <v>23.714285714285715</v>
      </c>
      <c r="K137" s="19">
        <f>IF(J137=0,0,J137/INDEX('Labor Dashboard'!$C$36:$C$39,MATCH(E137,'Labor Dashboard'!$B$36:$B$39,0)))</f>
        <v>0.79047619047619055</v>
      </c>
      <c r="L137" s="18">
        <f t="shared" si="5"/>
        <v>1</v>
      </c>
      <c r="M137" s="20">
        <f>G137*INDEX(Employees!$E$2:$E$17,MATCH(B137,Employees!$A$2:$A$17,0))</f>
        <v>126</v>
      </c>
    </row>
    <row r="138" spans="1:13" ht="18" x14ac:dyDescent="0.2">
      <c r="A138" s="17">
        <v>1024</v>
      </c>
      <c r="B138" s="17">
        <v>28</v>
      </c>
      <c r="C138" s="17" t="s">
        <v>233</v>
      </c>
      <c r="D138" s="17" t="s">
        <v>793</v>
      </c>
      <c r="E138" s="17" t="s">
        <v>796</v>
      </c>
      <c r="F138" s="17">
        <v>186</v>
      </c>
      <c r="G138" s="17">
        <v>8.5</v>
      </c>
      <c r="H138" s="17" t="str">
        <f>INDEX(Employees!$B$2:$B$17,MATCH(B138,Employees!$A$2:$A$17,0))</f>
        <v>Peyton</v>
      </c>
      <c r="I138" s="17" t="str">
        <f>INDEX(Employees!$C$2:$C$17,MATCH(B138,Employees!$A$2:$A$17,0))</f>
        <v>Cycle Counter</v>
      </c>
      <c r="J138" s="25">
        <f t="shared" si="4"/>
        <v>21.882352941176471</v>
      </c>
      <c r="K138" s="19">
        <f>IF(J138=0,0,J138/INDEX('Labor Dashboard'!$C$36:$C$39,MATCH(E138,'Labor Dashboard'!$B$36:$B$39,0)))</f>
        <v>0.87529411764705889</v>
      </c>
      <c r="L138" s="18">
        <f t="shared" si="5"/>
        <v>1</v>
      </c>
      <c r="M138" s="20">
        <f>G138*INDEX(Employees!$E$2:$E$17,MATCH(B138,Employees!$A$2:$A$17,0))</f>
        <v>153</v>
      </c>
    </row>
    <row r="139" spans="1:13" ht="18" x14ac:dyDescent="0.2">
      <c r="A139" s="17">
        <v>1025</v>
      </c>
      <c r="B139" s="17">
        <v>31</v>
      </c>
      <c r="C139" s="17" t="s">
        <v>233</v>
      </c>
      <c r="D139" s="17" t="s">
        <v>791</v>
      </c>
      <c r="E139" s="17" t="s">
        <v>794</v>
      </c>
      <c r="F139" s="17">
        <v>388</v>
      </c>
      <c r="G139" s="17">
        <v>7.9</v>
      </c>
      <c r="H139" s="17" t="str">
        <f>INDEX(Employees!$B$2:$B$17,MATCH(B139,Employees!$A$2:$A$17,0))</f>
        <v>Finley</v>
      </c>
      <c r="I139" s="17" t="str">
        <f>INDEX(Employees!$C$2:$C$17,MATCH(B139,Employees!$A$2:$A$17,0))</f>
        <v>Shift Supervisor</v>
      </c>
      <c r="J139" s="25">
        <f t="shared" si="4"/>
        <v>49.11392405063291</v>
      </c>
      <c r="K139" s="19">
        <f>IF(J139=0,0,J139/INDEX('Labor Dashboard'!$C$36:$C$39,MATCH(E139,'Labor Dashboard'!$B$36:$B$39,0)))</f>
        <v>1.0914205344585091</v>
      </c>
      <c r="L139" s="18">
        <f t="shared" si="5"/>
        <v>1</v>
      </c>
      <c r="M139" s="20">
        <f>G139*INDEX(Employees!$E$2:$E$17,MATCH(B139,Employees!$A$2:$A$17,0))</f>
        <v>189.60000000000002</v>
      </c>
    </row>
    <row r="140" spans="1:13" ht="18" x14ac:dyDescent="0.2">
      <c r="A140" s="17">
        <v>1026</v>
      </c>
      <c r="B140" s="17">
        <v>32</v>
      </c>
      <c r="C140" s="17" t="s">
        <v>233</v>
      </c>
      <c r="D140" s="17" t="s">
        <v>793</v>
      </c>
      <c r="E140" s="17" t="s">
        <v>796</v>
      </c>
      <c r="F140" s="17">
        <v>158</v>
      </c>
      <c r="G140" s="17">
        <v>6.7</v>
      </c>
      <c r="H140" s="17" t="str">
        <f>INDEX(Employees!$B$2:$B$17,MATCH(B140,Employees!$A$2:$A$17,0))</f>
        <v>Sawyer</v>
      </c>
      <c r="I140" s="17" t="str">
        <f>INDEX(Employees!$C$2:$C$17,MATCH(B140,Employees!$A$2:$A$17,0))</f>
        <v>Shift Supervisor</v>
      </c>
      <c r="J140" s="25">
        <f t="shared" si="4"/>
        <v>23.582089552238806</v>
      </c>
      <c r="K140" s="19">
        <f>IF(J140=0,0,J140/INDEX('Labor Dashboard'!$C$36:$C$39,MATCH(E140,'Labor Dashboard'!$B$36:$B$39,0)))</f>
        <v>0.94328358208955221</v>
      </c>
      <c r="L140" s="18">
        <f t="shared" si="5"/>
        <v>1</v>
      </c>
      <c r="M140" s="20">
        <f>G140*INDEX(Employees!$E$2:$E$17,MATCH(B140,Employees!$A$2:$A$17,0))</f>
        <v>160.80000000000001</v>
      </c>
    </row>
    <row r="141" spans="1:13" ht="18" x14ac:dyDescent="0.2">
      <c r="A141" s="17">
        <v>1027</v>
      </c>
      <c r="B141" s="17">
        <v>17</v>
      </c>
      <c r="C141" s="17" t="s">
        <v>174</v>
      </c>
      <c r="D141" s="17" t="s">
        <v>791</v>
      </c>
      <c r="E141" s="17" t="s">
        <v>792</v>
      </c>
      <c r="F141" s="17">
        <v>336</v>
      </c>
      <c r="G141" s="17">
        <v>7.7</v>
      </c>
      <c r="H141" s="17" t="str">
        <f>INDEX(Employees!$B$2:$B$17,MATCH(B141,Employees!$A$2:$A$17,0))</f>
        <v>Jordan</v>
      </c>
      <c r="I141" s="17" t="str">
        <f>INDEX(Employees!$C$2:$C$17,MATCH(B141,Employees!$A$2:$A$17,0))</f>
        <v>Picker</v>
      </c>
      <c r="J141" s="25">
        <f t="shared" si="4"/>
        <v>43.636363636363633</v>
      </c>
      <c r="K141" s="19">
        <f>IF(J141=0,0,J141/INDEX('Labor Dashboard'!$C$36:$C$39,MATCH(E141,'Labor Dashboard'!$B$36:$B$39,0)))</f>
        <v>0.79338842975206603</v>
      </c>
      <c r="L141" s="18">
        <f t="shared" si="5"/>
        <v>2</v>
      </c>
      <c r="M141" s="20">
        <f>G141*INDEX(Employees!$E$2:$E$17,MATCH(B141,Employees!$A$2:$A$17,0))</f>
        <v>130.9</v>
      </c>
    </row>
    <row r="142" spans="1:13" ht="18" x14ac:dyDescent="0.2">
      <c r="A142" s="17">
        <v>1028</v>
      </c>
      <c r="B142" s="17">
        <v>18</v>
      </c>
      <c r="C142" s="17" t="s">
        <v>174</v>
      </c>
      <c r="D142" s="17" t="s">
        <v>793</v>
      </c>
      <c r="E142" s="17" t="s">
        <v>792</v>
      </c>
      <c r="F142" s="17">
        <v>418</v>
      </c>
      <c r="G142" s="17">
        <v>7.9</v>
      </c>
      <c r="H142" s="17" t="str">
        <f>INDEX(Employees!$B$2:$B$17,MATCH(B142,Employees!$A$2:$A$17,0))</f>
        <v>Casey</v>
      </c>
      <c r="I142" s="17" t="str">
        <f>INDEX(Employees!$C$2:$C$17,MATCH(B142,Employees!$A$2:$A$17,0))</f>
        <v>Picker</v>
      </c>
      <c r="J142" s="25">
        <f t="shared" si="4"/>
        <v>52.911392405063289</v>
      </c>
      <c r="K142" s="19">
        <f>IF(J142=0,0,J142/INDEX('Labor Dashboard'!$C$36:$C$39,MATCH(E142,'Labor Dashboard'!$B$36:$B$39,0)))</f>
        <v>0.96202531645569611</v>
      </c>
      <c r="L142" s="18">
        <f t="shared" si="5"/>
        <v>2</v>
      </c>
      <c r="M142" s="20">
        <f>G142*INDEX(Employees!$E$2:$E$17,MATCH(B142,Employees!$A$2:$A$17,0))</f>
        <v>134.30000000000001</v>
      </c>
    </row>
    <row r="143" spans="1:13" ht="18" x14ac:dyDescent="0.2">
      <c r="A143" s="17">
        <v>1029</v>
      </c>
      <c r="B143" s="17">
        <v>23</v>
      </c>
      <c r="C143" s="17" t="s">
        <v>174</v>
      </c>
      <c r="D143" s="17" t="s">
        <v>793</v>
      </c>
      <c r="E143" s="17" t="s">
        <v>794</v>
      </c>
      <c r="F143" s="17">
        <v>456</v>
      </c>
      <c r="G143" s="17">
        <v>8.5</v>
      </c>
      <c r="H143" s="17" t="str">
        <f>INDEX(Employees!$B$2:$B$17,MATCH(B143,Employees!$A$2:$A$17,0))</f>
        <v>Cameron</v>
      </c>
      <c r="I143" s="17" t="str">
        <f>INDEX(Employees!$C$2:$C$17,MATCH(B143,Employees!$A$2:$A$17,0))</f>
        <v>Packer</v>
      </c>
      <c r="J143" s="25">
        <f t="shared" si="4"/>
        <v>53.647058823529413</v>
      </c>
      <c r="K143" s="19">
        <f>IF(J143=0,0,J143/INDEX('Labor Dashboard'!$C$36:$C$39,MATCH(E143,'Labor Dashboard'!$B$36:$B$39,0)))</f>
        <v>1.192156862745098</v>
      </c>
      <c r="L143" s="18">
        <f t="shared" si="5"/>
        <v>2</v>
      </c>
      <c r="M143" s="20">
        <f>G143*INDEX(Employees!$E$2:$E$17,MATCH(B143,Employees!$A$2:$A$17,0))</f>
        <v>144.5</v>
      </c>
    </row>
    <row r="144" spans="1:13" ht="18" x14ac:dyDescent="0.2">
      <c r="A144" s="17">
        <v>1030</v>
      </c>
      <c r="B144" s="17">
        <v>24</v>
      </c>
      <c r="C144" s="17" t="s">
        <v>174</v>
      </c>
      <c r="D144" s="17" t="s">
        <v>793</v>
      </c>
      <c r="E144" s="17" t="s">
        <v>792</v>
      </c>
      <c r="F144" s="17">
        <v>366</v>
      </c>
      <c r="G144" s="17">
        <v>6.9</v>
      </c>
      <c r="H144" s="17" t="str">
        <f>INDEX(Employees!$B$2:$B$17,MATCH(B144,Employees!$A$2:$A$17,0))</f>
        <v>Dakota</v>
      </c>
      <c r="I144" s="17" t="str">
        <f>INDEX(Employees!$C$2:$C$17,MATCH(B144,Employees!$A$2:$A$17,0))</f>
        <v>Forklift Operator</v>
      </c>
      <c r="J144" s="25">
        <f t="shared" si="4"/>
        <v>53.043478260869563</v>
      </c>
      <c r="K144" s="19">
        <f>IF(J144=0,0,J144/INDEX('Labor Dashboard'!$C$36:$C$39,MATCH(E144,'Labor Dashboard'!$B$36:$B$39,0)))</f>
        <v>0.96442687747035571</v>
      </c>
      <c r="L144" s="18">
        <f t="shared" si="5"/>
        <v>2</v>
      </c>
      <c r="M144" s="20">
        <f>G144*INDEX(Employees!$E$2:$E$17,MATCH(B144,Employees!$A$2:$A$17,0))</f>
        <v>134.55000000000001</v>
      </c>
    </row>
    <row r="145" spans="1:13" ht="18" x14ac:dyDescent="0.2">
      <c r="A145" s="17">
        <v>1031</v>
      </c>
      <c r="B145" s="17">
        <v>25</v>
      </c>
      <c r="C145" s="17" t="s">
        <v>174</v>
      </c>
      <c r="D145" s="17" t="s">
        <v>791</v>
      </c>
      <c r="E145" s="17" t="s">
        <v>792</v>
      </c>
      <c r="F145" s="17">
        <v>394</v>
      </c>
      <c r="G145" s="17">
        <v>6.6</v>
      </c>
      <c r="H145" s="17" t="str">
        <f>INDEX(Employees!$B$2:$B$17,MATCH(B145,Employees!$A$2:$A$17,0))</f>
        <v>Hayden</v>
      </c>
      <c r="I145" s="17" t="str">
        <f>INDEX(Employees!$C$2:$C$17,MATCH(B145,Employees!$A$2:$A$17,0))</f>
        <v>Forklift Operator</v>
      </c>
      <c r="J145" s="25">
        <f t="shared" si="4"/>
        <v>59.696969696969703</v>
      </c>
      <c r="K145" s="19">
        <f>IF(J145=0,0,J145/INDEX('Labor Dashboard'!$C$36:$C$39,MATCH(E145,'Labor Dashboard'!$B$36:$B$39,0)))</f>
        <v>1.0853994490358128</v>
      </c>
      <c r="L145" s="18">
        <f t="shared" si="5"/>
        <v>2</v>
      </c>
      <c r="M145" s="20">
        <f>G145*INDEX(Employees!$E$2:$E$17,MATCH(B145,Employees!$A$2:$A$17,0))</f>
        <v>128.69999999999999</v>
      </c>
    </row>
    <row r="146" spans="1:13" ht="18" x14ac:dyDescent="0.2">
      <c r="A146" s="17">
        <v>1032</v>
      </c>
      <c r="B146" s="17">
        <v>26</v>
      </c>
      <c r="C146" s="17" t="s">
        <v>174</v>
      </c>
      <c r="D146" s="17" t="s">
        <v>793</v>
      </c>
      <c r="E146" s="17" t="s">
        <v>795</v>
      </c>
      <c r="F146" s="17">
        <v>217</v>
      </c>
      <c r="G146" s="17">
        <v>7.6</v>
      </c>
      <c r="H146" s="17" t="str">
        <f>INDEX(Employees!$B$2:$B$17,MATCH(B146,Employees!$A$2:$A$17,0))</f>
        <v>Reese</v>
      </c>
      <c r="I146" s="17" t="str">
        <f>INDEX(Employees!$C$2:$C$17,MATCH(B146,Employees!$A$2:$A$17,0))</f>
        <v>Receiving Clerk</v>
      </c>
      <c r="J146" s="25">
        <f t="shared" si="4"/>
        <v>28.55263157894737</v>
      </c>
      <c r="K146" s="19">
        <f>IF(J146=0,0,J146/INDEX('Labor Dashboard'!$C$36:$C$39,MATCH(E146,'Labor Dashboard'!$B$36:$B$39,0)))</f>
        <v>0.95175438596491235</v>
      </c>
      <c r="L146" s="18">
        <f t="shared" si="5"/>
        <v>2</v>
      </c>
      <c r="M146" s="20">
        <f>G146*INDEX(Employees!$E$2:$E$17,MATCH(B146,Employees!$A$2:$A$17,0))</f>
        <v>136.79999999999998</v>
      </c>
    </row>
    <row r="147" spans="1:13" ht="18" x14ac:dyDescent="0.2">
      <c r="A147" s="17">
        <v>1033</v>
      </c>
      <c r="B147" s="17">
        <v>27</v>
      </c>
      <c r="C147" s="17" t="s">
        <v>174</v>
      </c>
      <c r="D147" s="17" t="s">
        <v>791</v>
      </c>
      <c r="E147" s="17" t="s">
        <v>795</v>
      </c>
      <c r="F147" s="17">
        <v>170</v>
      </c>
      <c r="G147" s="17">
        <v>7.6</v>
      </c>
      <c r="H147" s="17" t="str">
        <f>INDEX(Employees!$B$2:$B$17,MATCH(B147,Employees!$A$2:$A$17,0))</f>
        <v>Skyler</v>
      </c>
      <c r="I147" s="17" t="str">
        <f>INDEX(Employees!$C$2:$C$17,MATCH(B147,Employees!$A$2:$A$17,0))</f>
        <v>Receiving Clerk</v>
      </c>
      <c r="J147" s="25">
        <f t="shared" si="4"/>
        <v>22.368421052631579</v>
      </c>
      <c r="K147" s="19">
        <f>IF(J147=0,0,J147/INDEX('Labor Dashboard'!$C$36:$C$39,MATCH(E147,'Labor Dashboard'!$B$36:$B$39,0)))</f>
        <v>0.74561403508771928</v>
      </c>
      <c r="L147" s="18">
        <f t="shared" si="5"/>
        <v>2</v>
      </c>
      <c r="M147" s="20">
        <f>G147*INDEX(Employees!$E$2:$E$17,MATCH(B147,Employees!$A$2:$A$17,0))</f>
        <v>136.79999999999998</v>
      </c>
    </row>
    <row r="148" spans="1:13" ht="18" x14ac:dyDescent="0.2">
      <c r="A148" s="17">
        <v>1034</v>
      </c>
      <c r="B148" s="17">
        <v>28</v>
      </c>
      <c r="C148" s="17" t="s">
        <v>174</v>
      </c>
      <c r="D148" s="17" t="s">
        <v>791</v>
      </c>
      <c r="E148" s="17" t="s">
        <v>796</v>
      </c>
      <c r="F148" s="17">
        <v>175</v>
      </c>
      <c r="G148" s="17">
        <v>7.4</v>
      </c>
      <c r="H148" s="17" t="str">
        <f>INDEX(Employees!$B$2:$B$17,MATCH(B148,Employees!$A$2:$A$17,0))</f>
        <v>Peyton</v>
      </c>
      <c r="I148" s="17" t="str">
        <f>INDEX(Employees!$C$2:$C$17,MATCH(B148,Employees!$A$2:$A$17,0))</f>
        <v>Cycle Counter</v>
      </c>
      <c r="J148" s="25">
        <f t="shared" si="4"/>
        <v>23.648648648648649</v>
      </c>
      <c r="K148" s="19">
        <f>IF(J148=0,0,J148/INDEX('Labor Dashboard'!$C$36:$C$39,MATCH(E148,'Labor Dashboard'!$B$36:$B$39,0)))</f>
        <v>0.94594594594594594</v>
      </c>
      <c r="L148" s="18">
        <f t="shared" si="5"/>
        <v>2</v>
      </c>
      <c r="M148" s="20">
        <f>G148*INDEX(Employees!$E$2:$E$17,MATCH(B148,Employees!$A$2:$A$17,0))</f>
        <v>133.20000000000002</v>
      </c>
    </row>
    <row r="149" spans="1:13" ht="18" x14ac:dyDescent="0.2">
      <c r="A149" s="17">
        <v>1035</v>
      </c>
      <c r="B149" s="17">
        <v>29</v>
      </c>
      <c r="C149" s="17" t="s">
        <v>174</v>
      </c>
      <c r="D149" s="17" t="s">
        <v>791</v>
      </c>
      <c r="E149" s="17" t="s">
        <v>796</v>
      </c>
      <c r="F149" s="17">
        <v>172</v>
      </c>
      <c r="G149" s="17">
        <v>7.1</v>
      </c>
      <c r="H149" s="17" t="str">
        <f>INDEX(Employees!$B$2:$B$17,MATCH(B149,Employees!$A$2:$A$17,0))</f>
        <v>Rowan</v>
      </c>
      <c r="I149" s="17" t="str">
        <f>INDEX(Employees!$C$2:$C$17,MATCH(B149,Employees!$A$2:$A$17,0))</f>
        <v>Cycle Counter</v>
      </c>
      <c r="J149" s="25">
        <f t="shared" si="4"/>
        <v>24.225352112676056</v>
      </c>
      <c r="K149" s="19">
        <f>IF(J149=0,0,J149/INDEX('Labor Dashboard'!$C$36:$C$39,MATCH(E149,'Labor Dashboard'!$B$36:$B$39,0)))</f>
        <v>0.96901408450704229</v>
      </c>
      <c r="L149" s="18">
        <f t="shared" si="5"/>
        <v>2</v>
      </c>
      <c r="M149" s="20">
        <f>G149*INDEX(Employees!$E$2:$E$17,MATCH(B149,Employees!$A$2:$A$17,0))</f>
        <v>127.8</v>
      </c>
    </row>
    <row r="150" spans="1:13" ht="18" x14ac:dyDescent="0.2">
      <c r="A150" s="17">
        <v>1036</v>
      </c>
      <c r="B150" s="17">
        <v>30</v>
      </c>
      <c r="C150" s="17" t="s">
        <v>174</v>
      </c>
      <c r="D150" s="17" t="s">
        <v>793</v>
      </c>
      <c r="E150" s="17" t="s">
        <v>796</v>
      </c>
      <c r="F150" s="17">
        <v>169</v>
      </c>
      <c r="G150" s="17">
        <v>7.6</v>
      </c>
      <c r="H150" s="17" t="str">
        <f>INDEX(Employees!$B$2:$B$17,MATCH(B150,Employees!$A$2:$A$17,0))</f>
        <v>Emerson</v>
      </c>
      <c r="I150" s="17" t="str">
        <f>INDEX(Employees!$C$2:$C$17,MATCH(B150,Employees!$A$2:$A$17,0))</f>
        <v>Shift Supervisor</v>
      </c>
      <c r="J150" s="25">
        <f t="shared" si="4"/>
        <v>22.236842105263158</v>
      </c>
      <c r="K150" s="19">
        <f>IF(J150=0,0,J150/INDEX('Labor Dashboard'!$C$36:$C$39,MATCH(E150,'Labor Dashboard'!$B$36:$B$39,0)))</f>
        <v>0.88947368421052631</v>
      </c>
      <c r="L150" s="18">
        <f t="shared" si="5"/>
        <v>2</v>
      </c>
      <c r="M150" s="20">
        <f>G150*INDEX(Employees!$E$2:$E$17,MATCH(B150,Employees!$A$2:$A$17,0))</f>
        <v>182.39999999999998</v>
      </c>
    </row>
    <row r="151" spans="1:13" ht="18" x14ac:dyDescent="0.2">
      <c r="A151" s="17">
        <v>1037</v>
      </c>
      <c r="B151" s="17">
        <v>31</v>
      </c>
      <c r="C151" s="17" t="s">
        <v>174</v>
      </c>
      <c r="D151" s="17" t="s">
        <v>793</v>
      </c>
      <c r="E151" s="17" t="s">
        <v>794</v>
      </c>
      <c r="F151" s="17">
        <v>425</v>
      </c>
      <c r="G151" s="17">
        <v>7.8</v>
      </c>
      <c r="H151" s="17" t="str">
        <f>INDEX(Employees!$B$2:$B$17,MATCH(B151,Employees!$A$2:$A$17,0))</f>
        <v>Finley</v>
      </c>
      <c r="I151" s="17" t="str">
        <f>INDEX(Employees!$C$2:$C$17,MATCH(B151,Employees!$A$2:$A$17,0))</f>
        <v>Shift Supervisor</v>
      </c>
      <c r="J151" s="25">
        <f t="shared" si="4"/>
        <v>54.487179487179489</v>
      </c>
      <c r="K151" s="19">
        <f>IF(J151=0,0,J151/INDEX('Labor Dashboard'!$C$36:$C$39,MATCH(E151,'Labor Dashboard'!$B$36:$B$39,0)))</f>
        <v>1.2108262108262109</v>
      </c>
      <c r="L151" s="18">
        <f t="shared" si="5"/>
        <v>2</v>
      </c>
      <c r="M151" s="20">
        <f>G151*INDEX(Employees!$E$2:$E$17,MATCH(B151,Employees!$A$2:$A$17,0))</f>
        <v>187.2</v>
      </c>
    </row>
    <row r="152" spans="1:13" ht="18" x14ac:dyDescent="0.2">
      <c r="A152" s="17">
        <v>1038</v>
      </c>
      <c r="B152" s="17">
        <v>32</v>
      </c>
      <c r="C152" s="17" t="s">
        <v>174</v>
      </c>
      <c r="D152" s="17" t="s">
        <v>791</v>
      </c>
      <c r="E152" s="17" t="s">
        <v>792</v>
      </c>
      <c r="F152" s="17">
        <v>391</v>
      </c>
      <c r="G152" s="17">
        <v>8.4</v>
      </c>
      <c r="H152" s="17" t="str">
        <f>INDEX(Employees!$B$2:$B$17,MATCH(B152,Employees!$A$2:$A$17,0))</f>
        <v>Sawyer</v>
      </c>
      <c r="I152" s="17" t="str">
        <f>INDEX(Employees!$C$2:$C$17,MATCH(B152,Employees!$A$2:$A$17,0))</f>
        <v>Shift Supervisor</v>
      </c>
      <c r="J152" s="25">
        <f t="shared" si="4"/>
        <v>46.547619047619044</v>
      </c>
      <c r="K152" s="19">
        <f>IF(J152=0,0,J152/INDEX('Labor Dashboard'!$C$36:$C$39,MATCH(E152,'Labor Dashboard'!$B$36:$B$39,0)))</f>
        <v>0.84632034632034625</v>
      </c>
      <c r="L152" s="18">
        <f t="shared" si="5"/>
        <v>2</v>
      </c>
      <c r="M152" s="20">
        <f>G152*INDEX(Employees!$E$2:$E$17,MATCH(B152,Employees!$A$2:$A$17,0))</f>
        <v>201.60000000000002</v>
      </c>
    </row>
    <row r="153" spans="1:13" ht="18" x14ac:dyDescent="0.2">
      <c r="A153" s="17">
        <v>1039</v>
      </c>
      <c r="B153" s="17">
        <v>17</v>
      </c>
      <c r="C153" s="17" t="s">
        <v>280</v>
      </c>
      <c r="D153" s="17" t="s">
        <v>793</v>
      </c>
      <c r="E153" s="17" t="s">
        <v>792</v>
      </c>
      <c r="F153" s="17">
        <v>355</v>
      </c>
      <c r="G153" s="17">
        <v>7.7</v>
      </c>
      <c r="H153" s="17" t="str">
        <f>INDEX(Employees!$B$2:$B$17,MATCH(B153,Employees!$A$2:$A$17,0))</f>
        <v>Jordan</v>
      </c>
      <c r="I153" s="17" t="str">
        <f>INDEX(Employees!$C$2:$C$17,MATCH(B153,Employees!$A$2:$A$17,0))</f>
        <v>Picker</v>
      </c>
      <c r="J153" s="25">
        <f t="shared" si="4"/>
        <v>46.103896103896105</v>
      </c>
      <c r="K153" s="19">
        <f>IF(J153=0,0,J153/INDEX('Labor Dashboard'!$C$36:$C$39,MATCH(E153,'Labor Dashboard'!$B$36:$B$39,0)))</f>
        <v>0.83825265643447466</v>
      </c>
      <c r="L153" s="18">
        <f t="shared" si="5"/>
        <v>2</v>
      </c>
      <c r="M153" s="20">
        <f>G153*INDEX(Employees!$E$2:$E$17,MATCH(B153,Employees!$A$2:$A$17,0))</f>
        <v>130.9</v>
      </c>
    </row>
    <row r="154" spans="1:13" ht="18" x14ac:dyDescent="0.2">
      <c r="A154" s="17">
        <v>1040</v>
      </c>
      <c r="B154" s="17">
        <v>18</v>
      </c>
      <c r="C154" s="17" t="s">
        <v>280</v>
      </c>
      <c r="D154" s="17" t="s">
        <v>791</v>
      </c>
      <c r="E154" s="17" t="s">
        <v>792</v>
      </c>
      <c r="F154" s="17">
        <v>488</v>
      </c>
      <c r="G154" s="17">
        <v>8.1999999999999993</v>
      </c>
      <c r="H154" s="17" t="str">
        <f>INDEX(Employees!$B$2:$B$17,MATCH(B154,Employees!$A$2:$A$17,0))</f>
        <v>Casey</v>
      </c>
      <c r="I154" s="17" t="str">
        <f>INDEX(Employees!$C$2:$C$17,MATCH(B154,Employees!$A$2:$A$17,0))</f>
        <v>Picker</v>
      </c>
      <c r="J154" s="25">
        <f t="shared" si="4"/>
        <v>59.512195121951223</v>
      </c>
      <c r="K154" s="19">
        <f>IF(J154=0,0,J154/INDEX('Labor Dashboard'!$C$36:$C$39,MATCH(E154,'Labor Dashboard'!$B$36:$B$39,0)))</f>
        <v>1.082039911308204</v>
      </c>
      <c r="L154" s="18">
        <f t="shared" si="5"/>
        <v>2</v>
      </c>
      <c r="M154" s="20">
        <f>G154*INDEX(Employees!$E$2:$E$17,MATCH(B154,Employees!$A$2:$A$17,0))</f>
        <v>139.39999999999998</v>
      </c>
    </row>
    <row r="155" spans="1:13" ht="18" x14ac:dyDescent="0.2">
      <c r="A155" s="17">
        <v>1041</v>
      </c>
      <c r="B155" s="17">
        <v>19</v>
      </c>
      <c r="C155" s="17" t="s">
        <v>280</v>
      </c>
      <c r="D155" s="17" t="s">
        <v>791</v>
      </c>
      <c r="E155" s="17" t="s">
        <v>792</v>
      </c>
      <c r="F155" s="17">
        <v>437</v>
      </c>
      <c r="G155" s="17">
        <v>7.5</v>
      </c>
      <c r="H155" s="17" t="str">
        <f>INDEX(Employees!$B$2:$B$17,MATCH(B155,Employees!$A$2:$A$17,0))</f>
        <v>Morgan</v>
      </c>
      <c r="I155" s="17" t="str">
        <f>INDEX(Employees!$C$2:$C$17,MATCH(B155,Employees!$A$2:$A$17,0))</f>
        <v>Picker</v>
      </c>
      <c r="J155" s="25">
        <f t="shared" si="4"/>
        <v>58.266666666666666</v>
      </c>
      <c r="K155" s="19">
        <f>IF(J155=0,0,J155/INDEX('Labor Dashboard'!$C$36:$C$39,MATCH(E155,'Labor Dashboard'!$B$36:$B$39,0)))</f>
        <v>1.0593939393939393</v>
      </c>
      <c r="L155" s="18">
        <f t="shared" si="5"/>
        <v>2</v>
      </c>
      <c r="M155" s="20">
        <f>G155*INDEX(Employees!$E$2:$E$17,MATCH(B155,Employees!$A$2:$A$17,0))</f>
        <v>127.5</v>
      </c>
    </row>
    <row r="156" spans="1:13" ht="18" x14ac:dyDescent="0.2">
      <c r="A156" s="17">
        <v>1042</v>
      </c>
      <c r="B156" s="17">
        <v>21</v>
      </c>
      <c r="C156" s="17" t="s">
        <v>280</v>
      </c>
      <c r="D156" s="17" t="s">
        <v>791</v>
      </c>
      <c r="E156" s="17" t="s">
        <v>794</v>
      </c>
      <c r="F156" s="17">
        <v>351</v>
      </c>
      <c r="G156" s="17">
        <v>7.9</v>
      </c>
      <c r="H156" s="17" t="str">
        <f>INDEX(Employees!$B$2:$B$17,MATCH(B156,Employees!$A$2:$A$17,0))</f>
        <v>Riley</v>
      </c>
      <c r="I156" s="17" t="str">
        <f>INDEX(Employees!$C$2:$C$17,MATCH(B156,Employees!$A$2:$A$17,0))</f>
        <v>Packer</v>
      </c>
      <c r="J156" s="25">
        <f t="shared" si="4"/>
        <v>44.430379746835442</v>
      </c>
      <c r="K156" s="19">
        <f>IF(J156=0,0,J156/INDEX('Labor Dashboard'!$C$36:$C$39,MATCH(E156,'Labor Dashboard'!$B$36:$B$39,0)))</f>
        <v>0.98734177215189867</v>
      </c>
      <c r="L156" s="18">
        <f t="shared" si="5"/>
        <v>2</v>
      </c>
      <c r="M156" s="20">
        <f>G156*INDEX(Employees!$E$2:$E$17,MATCH(B156,Employees!$A$2:$A$17,0))</f>
        <v>134.30000000000001</v>
      </c>
    </row>
    <row r="157" spans="1:13" ht="18" x14ac:dyDescent="0.2">
      <c r="A157" s="17">
        <v>1043</v>
      </c>
      <c r="B157" s="17">
        <v>22</v>
      </c>
      <c r="C157" s="17" t="s">
        <v>280</v>
      </c>
      <c r="D157" s="17" t="s">
        <v>793</v>
      </c>
      <c r="E157" s="17" t="s">
        <v>794</v>
      </c>
      <c r="F157" s="17">
        <v>359</v>
      </c>
      <c r="G157" s="17">
        <v>7.7</v>
      </c>
      <c r="H157" s="17" t="str">
        <f>INDEX(Employees!$B$2:$B$17,MATCH(B157,Employees!$A$2:$A$17,0))</f>
        <v>Avery</v>
      </c>
      <c r="I157" s="17" t="str">
        <f>INDEX(Employees!$C$2:$C$17,MATCH(B157,Employees!$A$2:$A$17,0))</f>
        <v>Packer</v>
      </c>
      <c r="J157" s="25">
        <f t="shared" si="4"/>
        <v>46.623376623376622</v>
      </c>
      <c r="K157" s="19">
        <f>IF(J157=0,0,J157/INDEX('Labor Dashboard'!$C$36:$C$39,MATCH(E157,'Labor Dashboard'!$B$36:$B$39,0)))</f>
        <v>1.0360750360750361</v>
      </c>
      <c r="L157" s="18">
        <f t="shared" si="5"/>
        <v>2</v>
      </c>
      <c r="M157" s="20">
        <f>G157*INDEX(Employees!$E$2:$E$17,MATCH(B157,Employees!$A$2:$A$17,0))</f>
        <v>130.9</v>
      </c>
    </row>
    <row r="158" spans="1:13" ht="18" x14ac:dyDescent="0.2">
      <c r="A158" s="17">
        <v>1044</v>
      </c>
      <c r="B158" s="17">
        <v>23</v>
      </c>
      <c r="C158" s="17" t="s">
        <v>280</v>
      </c>
      <c r="D158" s="17" t="s">
        <v>793</v>
      </c>
      <c r="E158" s="17" t="s">
        <v>794</v>
      </c>
      <c r="F158" s="17">
        <v>394</v>
      </c>
      <c r="G158" s="17">
        <v>7.3</v>
      </c>
      <c r="H158" s="17" t="str">
        <f>INDEX(Employees!$B$2:$B$17,MATCH(B158,Employees!$A$2:$A$17,0))</f>
        <v>Cameron</v>
      </c>
      <c r="I158" s="17" t="str">
        <f>INDEX(Employees!$C$2:$C$17,MATCH(B158,Employees!$A$2:$A$17,0))</f>
        <v>Packer</v>
      </c>
      <c r="J158" s="25">
        <f t="shared" si="4"/>
        <v>53.972602739726028</v>
      </c>
      <c r="K158" s="19">
        <f>IF(J158=0,0,J158/INDEX('Labor Dashboard'!$C$36:$C$39,MATCH(E158,'Labor Dashboard'!$B$36:$B$39,0)))</f>
        <v>1.1993911719939117</v>
      </c>
      <c r="L158" s="18">
        <f t="shared" si="5"/>
        <v>2</v>
      </c>
      <c r="M158" s="20">
        <f>G158*INDEX(Employees!$E$2:$E$17,MATCH(B158,Employees!$A$2:$A$17,0))</f>
        <v>124.1</v>
      </c>
    </row>
    <row r="159" spans="1:13" ht="18" x14ac:dyDescent="0.2">
      <c r="A159" s="17">
        <v>1045</v>
      </c>
      <c r="B159" s="17">
        <v>24</v>
      </c>
      <c r="C159" s="17" t="s">
        <v>280</v>
      </c>
      <c r="D159" s="17" t="s">
        <v>793</v>
      </c>
      <c r="E159" s="17" t="s">
        <v>792</v>
      </c>
      <c r="F159" s="17">
        <v>422</v>
      </c>
      <c r="G159" s="17">
        <v>7.5</v>
      </c>
      <c r="H159" s="17" t="str">
        <f>INDEX(Employees!$B$2:$B$17,MATCH(B159,Employees!$A$2:$A$17,0))</f>
        <v>Dakota</v>
      </c>
      <c r="I159" s="17" t="str">
        <f>INDEX(Employees!$C$2:$C$17,MATCH(B159,Employees!$A$2:$A$17,0))</f>
        <v>Forklift Operator</v>
      </c>
      <c r="J159" s="25">
        <f t="shared" si="4"/>
        <v>56.266666666666666</v>
      </c>
      <c r="K159" s="19">
        <f>IF(J159=0,0,J159/INDEX('Labor Dashboard'!$C$36:$C$39,MATCH(E159,'Labor Dashboard'!$B$36:$B$39,0)))</f>
        <v>1.023030303030303</v>
      </c>
      <c r="L159" s="18">
        <f t="shared" si="5"/>
        <v>2</v>
      </c>
      <c r="M159" s="20">
        <f>G159*INDEX(Employees!$E$2:$E$17,MATCH(B159,Employees!$A$2:$A$17,0))</f>
        <v>146.25</v>
      </c>
    </row>
    <row r="160" spans="1:13" ht="18" x14ac:dyDescent="0.2">
      <c r="A160" s="17">
        <v>1046</v>
      </c>
      <c r="B160" s="17">
        <v>26</v>
      </c>
      <c r="C160" s="17" t="s">
        <v>280</v>
      </c>
      <c r="D160" s="17" t="s">
        <v>793</v>
      </c>
      <c r="E160" s="17" t="s">
        <v>795</v>
      </c>
      <c r="F160" s="17">
        <v>189</v>
      </c>
      <c r="G160" s="17">
        <v>7.2</v>
      </c>
      <c r="H160" s="17" t="str">
        <f>INDEX(Employees!$B$2:$B$17,MATCH(B160,Employees!$A$2:$A$17,0))</f>
        <v>Reese</v>
      </c>
      <c r="I160" s="17" t="str">
        <f>INDEX(Employees!$C$2:$C$17,MATCH(B160,Employees!$A$2:$A$17,0))</f>
        <v>Receiving Clerk</v>
      </c>
      <c r="J160" s="25">
        <f t="shared" si="4"/>
        <v>26.25</v>
      </c>
      <c r="K160" s="19">
        <f>IF(J160=0,0,J160/INDEX('Labor Dashboard'!$C$36:$C$39,MATCH(E160,'Labor Dashboard'!$B$36:$B$39,0)))</f>
        <v>0.875</v>
      </c>
      <c r="L160" s="18">
        <f t="shared" si="5"/>
        <v>2</v>
      </c>
      <c r="M160" s="20">
        <f>G160*INDEX(Employees!$E$2:$E$17,MATCH(B160,Employees!$A$2:$A$17,0))</f>
        <v>129.6</v>
      </c>
    </row>
    <row r="161" spans="1:13" ht="18" x14ac:dyDescent="0.2">
      <c r="A161" s="17">
        <v>1047</v>
      </c>
      <c r="B161" s="17">
        <v>27</v>
      </c>
      <c r="C161" s="17" t="s">
        <v>280</v>
      </c>
      <c r="D161" s="17" t="s">
        <v>791</v>
      </c>
      <c r="E161" s="17" t="s">
        <v>795</v>
      </c>
      <c r="F161" s="17">
        <v>212</v>
      </c>
      <c r="G161" s="17">
        <v>7.9</v>
      </c>
      <c r="H161" s="17" t="str">
        <f>INDEX(Employees!$B$2:$B$17,MATCH(B161,Employees!$A$2:$A$17,0))</f>
        <v>Skyler</v>
      </c>
      <c r="I161" s="17" t="str">
        <f>INDEX(Employees!$C$2:$C$17,MATCH(B161,Employees!$A$2:$A$17,0))</f>
        <v>Receiving Clerk</v>
      </c>
      <c r="J161" s="25">
        <f t="shared" si="4"/>
        <v>26.835443037974681</v>
      </c>
      <c r="K161" s="19">
        <f>IF(J161=0,0,J161/INDEX('Labor Dashboard'!$C$36:$C$39,MATCH(E161,'Labor Dashboard'!$B$36:$B$39,0)))</f>
        <v>0.89451476793248941</v>
      </c>
      <c r="L161" s="18">
        <f t="shared" si="5"/>
        <v>2</v>
      </c>
      <c r="M161" s="20">
        <f>G161*INDEX(Employees!$E$2:$E$17,MATCH(B161,Employees!$A$2:$A$17,0))</f>
        <v>142.20000000000002</v>
      </c>
    </row>
    <row r="162" spans="1:13" ht="18" x14ac:dyDescent="0.2">
      <c r="A162" s="17">
        <v>1048</v>
      </c>
      <c r="B162" s="17">
        <v>28</v>
      </c>
      <c r="C162" s="17" t="s">
        <v>280</v>
      </c>
      <c r="D162" s="17" t="s">
        <v>791</v>
      </c>
      <c r="E162" s="17" t="s">
        <v>796</v>
      </c>
      <c r="F162" s="17">
        <v>182</v>
      </c>
      <c r="G162" s="17">
        <v>7.2</v>
      </c>
      <c r="H162" s="17" t="str">
        <f>INDEX(Employees!$B$2:$B$17,MATCH(B162,Employees!$A$2:$A$17,0))</f>
        <v>Peyton</v>
      </c>
      <c r="I162" s="17" t="str">
        <f>INDEX(Employees!$C$2:$C$17,MATCH(B162,Employees!$A$2:$A$17,0))</f>
        <v>Cycle Counter</v>
      </c>
      <c r="J162" s="25">
        <f t="shared" si="4"/>
        <v>25.277777777777779</v>
      </c>
      <c r="K162" s="19">
        <f>IF(J162=0,0,J162/INDEX('Labor Dashboard'!$C$36:$C$39,MATCH(E162,'Labor Dashboard'!$B$36:$B$39,0)))</f>
        <v>1.0111111111111111</v>
      </c>
      <c r="L162" s="18">
        <f t="shared" si="5"/>
        <v>2</v>
      </c>
      <c r="M162" s="20">
        <f>G162*INDEX(Employees!$E$2:$E$17,MATCH(B162,Employees!$A$2:$A$17,0))</f>
        <v>129.6</v>
      </c>
    </row>
    <row r="163" spans="1:13" ht="18" x14ac:dyDescent="0.2">
      <c r="A163" s="17">
        <v>1049</v>
      </c>
      <c r="B163" s="17">
        <v>29</v>
      </c>
      <c r="C163" s="17" t="s">
        <v>280</v>
      </c>
      <c r="D163" s="17" t="s">
        <v>791</v>
      </c>
      <c r="E163" s="17" t="s">
        <v>796</v>
      </c>
      <c r="F163" s="17">
        <v>207</v>
      </c>
      <c r="G163" s="17">
        <v>7.7</v>
      </c>
      <c r="H163" s="17" t="str">
        <f>INDEX(Employees!$B$2:$B$17,MATCH(B163,Employees!$A$2:$A$17,0))</f>
        <v>Rowan</v>
      </c>
      <c r="I163" s="17" t="str">
        <f>INDEX(Employees!$C$2:$C$17,MATCH(B163,Employees!$A$2:$A$17,0))</f>
        <v>Cycle Counter</v>
      </c>
      <c r="J163" s="25">
        <f t="shared" si="4"/>
        <v>26.883116883116884</v>
      </c>
      <c r="K163" s="19">
        <f>IF(J163=0,0,J163/INDEX('Labor Dashboard'!$C$36:$C$39,MATCH(E163,'Labor Dashboard'!$B$36:$B$39,0)))</f>
        <v>1.0753246753246755</v>
      </c>
      <c r="L163" s="18">
        <f t="shared" si="5"/>
        <v>2</v>
      </c>
      <c r="M163" s="20">
        <f>G163*INDEX(Employees!$E$2:$E$17,MATCH(B163,Employees!$A$2:$A$17,0))</f>
        <v>138.6</v>
      </c>
    </row>
    <row r="164" spans="1:13" ht="18" x14ac:dyDescent="0.2">
      <c r="A164" s="17">
        <v>1050</v>
      </c>
      <c r="B164" s="17">
        <v>30</v>
      </c>
      <c r="C164" s="17" t="s">
        <v>280</v>
      </c>
      <c r="D164" s="17" t="s">
        <v>791</v>
      </c>
      <c r="E164" s="17" t="s">
        <v>792</v>
      </c>
      <c r="F164" s="17">
        <v>418</v>
      </c>
      <c r="G164" s="17">
        <v>8.4</v>
      </c>
      <c r="H164" s="17" t="str">
        <f>INDEX(Employees!$B$2:$B$17,MATCH(B164,Employees!$A$2:$A$17,0))</f>
        <v>Emerson</v>
      </c>
      <c r="I164" s="17" t="str">
        <f>INDEX(Employees!$C$2:$C$17,MATCH(B164,Employees!$A$2:$A$17,0))</f>
        <v>Shift Supervisor</v>
      </c>
      <c r="J164" s="25">
        <f t="shared" si="4"/>
        <v>49.761904761904759</v>
      </c>
      <c r="K164" s="19">
        <f>IF(J164=0,0,J164/INDEX('Labor Dashboard'!$C$36:$C$39,MATCH(E164,'Labor Dashboard'!$B$36:$B$39,0)))</f>
        <v>0.90476190476190477</v>
      </c>
      <c r="L164" s="18">
        <f t="shared" si="5"/>
        <v>2</v>
      </c>
      <c r="M164" s="20">
        <f>G164*INDEX(Employees!$E$2:$E$17,MATCH(B164,Employees!$A$2:$A$17,0))</f>
        <v>201.60000000000002</v>
      </c>
    </row>
    <row r="165" spans="1:13" ht="18" x14ac:dyDescent="0.2">
      <c r="A165" s="17">
        <v>1051</v>
      </c>
      <c r="B165" s="17">
        <v>31</v>
      </c>
      <c r="C165" s="17" t="s">
        <v>280</v>
      </c>
      <c r="D165" s="17" t="s">
        <v>791</v>
      </c>
      <c r="E165" s="17" t="s">
        <v>794</v>
      </c>
      <c r="F165" s="17">
        <v>408</v>
      </c>
      <c r="G165" s="17">
        <v>8.4</v>
      </c>
      <c r="H165" s="17" t="str">
        <f>INDEX(Employees!$B$2:$B$17,MATCH(B165,Employees!$A$2:$A$17,0))</f>
        <v>Finley</v>
      </c>
      <c r="I165" s="17" t="str">
        <f>INDEX(Employees!$C$2:$C$17,MATCH(B165,Employees!$A$2:$A$17,0))</f>
        <v>Shift Supervisor</v>
      </c>
      <c r="J165" s="25">
        <f t="shared" si="4"/>
        <v>48.571428571428569</v>
      </c>
      <c r="K165" s="19">
        <f>IF(J165=0,0,J165/INDEX('Labor Dashboard'!$C$36:$C$39,MATCH(E165,'Labor Dashboard'!$B$36:$B$39,0)))</f>
        <v>1.0793650793650793</v>
      </c>
      <c r="L165" s="18">
        <f t="shared" si="5"/>
        <v>2</v>
      </c>
      <c r="M165" s="20">
        <f>G165*INDEX(Employees!$E$2:$E$17,MATCH(B165,Employees!$A$2:$A$17,0))</f>
        <v>201.60000000000002</v>
      </c>
    </row>
    <row r="166" spans="1:13" ht="18" x14ac:dyDescent="0.2">
      <c r="A166" s="17">
        <v>1052</v>
      </c>
      <c r="B166" s="17">
        <v>32</v>
      </c>
      <c r="C166" s="17" t="s">
        <v>280</v>
      </c>
      <c r="D166" s="17" t="s">
        <v>791</v>
      </c>
      <c r="E166" s="17" t="s">
        <v>794</v>
      </c>
      <c r="F166" s="17">
        <v>301</v>
      </c>
      <c r="G166" s="17">
        <v>6.8</v>
      </c>
      <c r="H166" s="17" t="str">
        <f>INDEX(Employees!$B$2:$B$17,MATCH(B166,Employees!$A$2:$A$17,0))</f>
        <v>Sawyer</v>
      </c>
      <c r="I166" s="17" t="str">
        <f>INDEX(Employees!$C$2:$C$17,MATCH(B166,Employees!$A$2:$A$17,0))</f>
        <v>Shift Supervisor</v>
      </c>
      <c r="J166" s="25">
        <f t="shared" si="4"/>
        <v>44.264705882352942</v>
      </c>
      <c r="K166" s="19">
        <f>IF(J166=0,0,J166/INDEX('Labor Dashboard'!$C$36:$C$39,MATCH(E166,'Labor Dashboard'!$B$36:$B$39,0)))</f>
        <v>0.98366013071895431</v>
      </c>
      <c r="L166" s="18">
        <f t="shared" si="5"/>
        <v>2</v>
      </c>
      <c r="M166" s="20">
        <f>G166*INDEX(Employees!$E$2:$E$17,MATCH(B166,Employees!$A$2:$A$17,0))</f>
        <v>163.19999999999999</v>
      </c>
    </row>
    <row r="167" spans="1:13" ht="18" x14ac:dyDescent="0.2">
      <c r="A167" s="17">
        <v>1053</v>
      </c>
      <c r="B167" s="17">
        <v>17</v>
      </c>
      <c r="C167" s="17" t="s">
        <v>264</v>
      </c>
      <c r="D167" s="17" t="s">
        <v>793</v>
      </c>
      <c r="E167" s="17" t="s">
        <v>792</v>
      </c>
      <c r="F167" s="17">
        <v>386</v>
      </c>
      <c r="G167" s="17">
        <v>7.3</v>
      </c>
      <c r="H167" s="17" t="str">
        <f>INDEX(Employees!$B$2:$B$17,MATCH(B167,Employees!$A$2:$A$17,0))</f>
        <v>Jordan</v>
      </c>
      <c r="I167" s="17" t="str">
        <f>INDEX(Employees!$C$2:$C$17,MATCH(B167,Employees!$A$2:$A$17,0))</f>
        <v>Picker</v>
      </c>
      <c r="J167" s="25">
        <f t="shared" si="4"/>
        <v>52.876712328767127</v>
      </c>
      <c r="K167" s="19">
        <f>IF(J167=0,0,J167/INDEX('Labor Dashboard'!$C$36:$C$39,MATCH(E167,'Labor Dashboard'!$B$36:$B$39,0)))</f>
        <v>0.96139476961394776</v>
      </c>
      <c r="L167" s="18">
        <f t="shared" si="5"/>
        <v>2</v>
      </c>
      <c r="M167" s="20">
        <f>G167*INDEX(Employees!$E$2:$E$17,MATCH(B167,Employees!$A$2:$A$17,0))</f>
        <v>124.1</v>
      </c>
    </row>
    <row r="168" spans="1:13" ht="18" x14ac:dyDescent="0.2">
      <c r="A168" s="17">
        <v>1054</v>
      </c>
      <c r="B168" s="17">
        <v>18</v>
      </c>
      <c r="C168" s="17" t="s">
        <v>264</v>
      </c>
      <c r="D168" s="17" t="s">
        <v>791</v>
      </c>
      <c r="E168" s="17" t="s">
        <v>792</v>
      </c>
      <c r="F168" s="17">
        <v>431</v>
      </c>
      <c r="G168" s="17">
        <v>6.7</v>
      </c>
      <c r="H168" s="17" t="str">
        <f>INDEX(Employees!$B$2:$B$17,MATCH(B168,Employees!$A$2:$A$17,0))</f>
        <v>Casey</v>
      </c>
      <c r="I168" s="17" t="str">
        <f>INDEX(Employees!$C$2:$C$17,MATCH(B168,Employees!$A$2:$A$17,0))</f>
        <v>Picker</v>
      </c>
      <c r="J168" s="25">
        <f t="shared" si="4"/>
        <v>64.328358208955223</v>
      </c>
      <c r="K168" s="19">
        <f>IF(J168=0,0,J168/INDEX('Labor Dashboard'!$C$36:$C$39,MATCH(E168,'Labor Dashboard'!$B$36:$B$39,0)))</f>
        <v>1.169606512890095</v>
      </c>
      <c r="L168" s="18">
        <f t="shared" si="5"/>
        <v>2</v>
      </c>
      <c r="M168" s="20">
        <f>G168*INDEX(Employees!$E$2:$E$17,MATCH(B168,Employees!$A$2:$A$17,0))</f>
        <v>113.9</v>
      </c>
    </row>
    <row r="169" spans="1:13" ht="18" x14ac:dyDescent="0.2">
      <c r="A169" s="17">
        <v>1055</v>
      </c>
      <c r="B169" s="17">
        <v>19</v>
      </c>
      <c r="C169" s="17" t="s">
        <v>264</v>
      </c>
      <c r="D169" s="17" t="s">
        <v>793</v>
      </c>
      <c r="E169" s="17" t="s">
        <v>792</v>
      </c>
      <c r="F169" s="17">
        <v>464</v>
      </c>
      <c r="G169" s="17">
        <v>7.6</v>
      </c>
      <c r="H169" s="17" t="str">
        <f>INDEX(Employees!$B$2:$B$17,MATCH(B169,Employees!$A$2:$A$17,0))</f>
        <v>Morgan</v>
      </c>
      <c r="I169" s="17" t="str">
        <f>INDEX(Employees!$C$2:$C$17,MATCH(B169,Employees!$A$2:$A$17,0))</f>
        <v>Picker</v>
      </c>
      <c r="J169" s="25">
        <f t="shared" si="4"/>
        <v>61.05263157894737</v>
      </c>
      <c r="K169" s="19">
        <f>IF(J169=0,0,J169/INDEX('Labor Dashboard'!$C$36:$C$39,MATCH(E169,'Labor Dashboard'!$B$36:$B$39,0)))</f>
        <v>1.1100478468899522</v>
      </c>
      <c r="L169" s="18">
        <f t="shared" si="5"/>
        <v>2</v>
      </c>
      <c r="M169" s="20">
        <f>G169*INDEX(Employees!$E$2:$E$17,MATCH(B169,Employees!$A$2:$A$17,0))</f>
        <v>129.19999999999999</v>
      </c>
    </row>
    <row r="170" spans="1:13" ht="18" x14ac:dyDescent="0.2">
      <c r="A170" s="17">
        <v>1056</v>
      </c>
      <c r="B170" s="17">
        <v>20</v>
      </c>
      <c r="C170" s="17" t="s">
        <v>264</v>
      </c>
      <c r="D170" s="17" t="s">
        <v>791</v>
      </c>
      <c r="E170" s="17" t="s">
        <v>792</v>
      </c>
      <c r="F170" s="17">
        <v>379</v>
      </c>
      <c r="G170" s="17">
        <v>6.6</v>
      </c>
      <c r="H170" s="17" t="str">
        <f>INDEX(Employees!$B$2:$B$17,MATCH(B170,Employees!$A$2:$A$17,0))</f>
        <v>Taylor</v>
      </c>
      <c r="I170" s="17" t="str">
        <f>INDEX(Employees!$C$2:$C$17,MATCH(B170,Employees!$A$2:$A$17,0))</f>
        <v>Picker</v>
      </c>
      <c r="J170" s="25">
        <f t="shared" si="4"/>
        <v>57.424242424242429</v>
      </c>
      <c r="K170" s="19">
        <f>IF(J170=0,0,J170/INDEX('Labor Dashboard'!$C$36:$C$39,MATCH(E170,'Labor Dashboard'!$B$36:$B$39,0)))</f>
        <v>1.0440771349862259</v>
      </c>
      <c r="L170" s="18">
        <f t="shared" si="5"/>
        <v>2</v>
      </c>
      <c r="M170" s="20">
        <f>G170*INDEX(Employees!$E$2:$E$17,MATCH(B170,Employees!$A$2:$A$17,0))</f>
        <v>112.19999999999999</v>
      </c>
    </row>
    <row r="171" spans="1:13" ht="18" x14ac:dyDescent="0.2">
      <c r="A171" s="17">
        <v>1057</v>
      </c>
      <c r="B171" s="17">
        <v>22</v>
      </c>
      <c r="C171" s="17" t="s">
        <v>264</v>
      </c>
      <c r="D171" s="17" t="s">
        <v>791</v>
      </c>
      <c r="E171" s="17" t="s">
        <v>794</v>
      </c>
      <c r="F171" s="17">
        <v>342</v>
      </c>
      <c r="G171" s="17">
        <v>7.5</v>
      </c>
      <c r="H171" s="17" t="str">
        <f>INDEX(Employees!$B$2:$B$17,MATCH(B171,Employees!$A$2:$A$17,0))</f>
        <v>Avery</v>
      </c>
      <c r="I171" s="17" t="str">
        <f>INDEX(Employees!$C$2:$C$17,MATCH(B171,Employees!$A$2:$A$17,0))</f>
        <v>Packer</v>
      </c>
      <c r="J171" s="25">
        <f t="shared" si="4"/>
        <v>45.6</v>
      </c>
      <c r="K171" s="19">
        <f>IF(J171=0,0,J171/INDEX('Labor Dashboard'!$C$36:$C$39,MATCH(E171,'Labor Dashboard'!$B$36:$B$39,0)))</f>
        <v>1.0133333333333334</v>
      </c>
      <c r="L171" s="18">
        <f t="shared" si="5"/>
        <v>2</v>
      </c>
      <c r="M171" s="20">
        <f>G171*INDEX(Employees!$E$2:$E$17,MATCH(B171,Employees!$A$2:$A$17,0))</f>
        <v>127.5</v>
      </c>
    </row>
    <row r="172" spans="1:13" ht="18" x14ac:dyDescent="0.2">
      <c r="A172" s="17">
        <v>1058</v>
      </c>
      <c r="B172" s="17">
        <v>23</v>
      </c>
      <c r="C172" s="17" t="s">
        <v>264</v>
      </c>
      <c r="D172" s="17" t="s">
        <v>793</v>
      </c>
      <c r="E172" s="17" t="s">
        <v>794</v>
      </c>
      <c r="F172" s="17">
        <v>361</v>
      </c>
      <c r="G172" s="17">
        <v>7.3</v>
      </c>
      <c r="H172" s="17" t="str">
        <f>INDEX(Employees!$B$2:$B$17,MATCH(B172,Employees!$A$2:$A$17,0))</f>
        <v>Cameron</v>
      </c>
      <c r="I172" s="17" t="str">
        <f>INDEX(Employees!$C$2:$C$17,MATCH(B172,Employees!$A$2:$A$17,0))</f>
        <v>Packer</v>
      </c>
      <c r="J172" s="25">
        <f t="shared" si="4"/>
        <v>49.452054794520549</v>
      </c>
      <c r="K172" s="19">
        <f>IF(J172=0,0,J172/INDEX('Labor Dashboard'!$C$36:$C$39,MATCH(E172,'Labor Dashboard'!$B$36:$B$39,0)))</f>
        <v>1.0989345509893456</v>
      </c>
      <c r="L172" s="18">
        <f t="shared" si="5"/>
        <v>2</v>
      </c>
      <c r="M172" s="20">
        <f>G172*INDEX(Employees!$E$2:$E$17,MATCH(B172,Employees!$A$2:$A$17,0))</f>
        <v>124.1</v>
      </c>
    </row>
    <row r="173" spans="1:13" ht="18" x14ac:dyDescent="0.2">
      <c r="A173" s="17">
        <v>1059</v>
      </c>
      <c r="B173" s="17">
        <v>24</v>
      </c>
      <c r="C173" s="17" t="s">
        <v>264</v>
      </c>
      <c r="D173" s="17" t="s">
        <v>793</v>
      </c>
      <c r="E173" s="17" t="s">
        <v>795</v>
      </c>
      <c r="F173" s="17">
        <v>226</v>
      </c>
      <c r="G173" s="17">
        <v>7.3</v>
      </c>
      <c r="H173" s="17" t="str">
        <f>INDEX(Employees!$B$2:$B$17,MATCH(B173,Employees!$A$2:$A$17,0))</f>
        <v>Dakota</v>
      </c>
      <c r="I173" s="17" t="str">
        <f>INDEX(Employees!$C$2:$C$17,MATCH(B173,Employees!$A$2:$A$17,0))</f>
        <v>Forklift Operator</v>
      </c>
      <c r="J173" s="25">
        <f t="shared" si="4"/>
        <v>30.958904109589042</v>
      </c>
      <c r="K173" s="19">
        <f>IF(J173=0,0,J173/INDEX('Labor Dashboard'!$C$36:$C$39,MATCH(E173,'Labor Dashboard'!$B$36:$B$39,0)))</f>
        <v>1.0319634703196348</v>
      </c>
      <c r="L173" s="18">
        <f t="shared" si="5"/>
        <v>2</v>
      </c>
      <c r="M173" s="20">
        <f>G173*INDEX(Employees!$E$2:$E$17,MATCH(B173,Employees!$A$2:$A$17,0))</f>
        <v>142.35</v>
      </c>
    </row>
    <row r="174" spans="1:13" ht="18" x14ac:dyDescent="0.2">
      <c r="A174" s="17">
        <v>1060</v>
      </c>
      <c r="B174" s="17">
        <v>25</v>
      </c>
      <c r="C174" s="17" t="s">
        <v>264</v>
      </c>
      <c r="D174" s="17" t="s">
        <v>793</v>
      </c>
      <c r="E174" s="17" t="s">
        <v>795</v>
      </c>
      <c r="F174" s="17">
        <v>212</v>
      </c>
      <c r="G174" s="17">
        <v>7.4</v>
      </c>
      <c r="H174" s="17" t="str">
        <f>INDEX(Employees!$B$2:$B$17,MATCH(B174,Employees!$A$2:$A$17,0))</f>
        <v>Hayden</v>
      </c>
      <c r="I174" s="17" t="str">
        <f>INDEX(Employees!$C$2:$C$17,MATCH(B174,Employees!$A$2:$A$17,0))</f>
        <v>Forklift Operator</v>
      </c>
      <c r="J174" s="25">
        <f t="shared" si="4"/>
        <v>28.648648648648646</v>
      </c>
      <c r="K174" s="19">
        <f>IF(J174=0,0,J174/INDEX('Labor Dashboard'!$C$36:$C$39,MATCH(E174,'Labor Dashboard'!$B$36:$B$39,0)))</f>
        <v>0.95495495495495486</v>
      </c>
      <c r="L174" s="18">
        <f t="shared" si="5"/>
        <v>2</v>
      </c>
      <c r="M174" s="20">
        <f>G174*INDEX(Employees!$E$2:$E$17,MATCH(B174,Employees!$A$2:$A$17,0))</f>
        <v>144.30000000000001</v>
      </c>
    </row>
    <row r="175" spans="1:13" ht="18" x14ac:dyDescent="0.2">
      <c r="A175" s="17">
        <v>1061</v>
      </c>
      <c r="B175" s="17">
        <v>26</v>
      </c>
      <c r="C175" s="17" t="s">
        <v>264</v>
      </c>
      <c r="D175" s="17" t="s">
        <v>793</v>
      </c>
      <c r="E175" s="17" t="s">
        <v>795</v>
      </c>
      <c r="F175" s="17">
        <v>239</v>
      </c>
      <c r="G175" s="17">
        <v>8.1</v>
      </c>
      <c r="H175" s="17" t="str">
        <f>INDEX(Employees!$B$2:$B$17,MATCH(B175,Employees!$A$2:$A$17,0))</f>
        <v>Reese</v>
      </c>
      <c r="I175" s="17" t="str">
        <f>INDEX(Employees!$C$2:$C$17,MATCH(B175,Employees!$A$2:$A$17,0))</f>
        <v>Receiving Clerk</v>
      </c>
      <c r="J175" s="25">
        <f t="shared" si="4"/>
        <v>29.506172839506174</v>
      </c>
      <c r="K175" s="19">
        <f>IF(J175=0,0,J175/INDEX('Labor Dashboard'!$C$36:$C$39,MATCH(E175,'Labor Dashboard'!$B$36:$B$39,0)))</f>
        <v>0.98353909465020584</v>
      </c>
      <c r="L175" s="18">
        <f t="shared" si="5"/>
        <v>2</v>
      </c>
      <c r="M175" s="20">
        <f>G175*INDEX(Employees!$E$2:$E$17,MATCH(B175,Employees!$A$2:$A$17,0))</f>
        <v>145.79999999999998</v>
      </c>
    </row>
    <row r="176" spans="1:13" ht="18" x14ac:dyDescent="0.2">
      <c r="A176" s="17">
        <v>1062</v>
      </c>
      <c r="B176" s="17">
        <v>27</v>
      </c>
      <c r="C176" s="17" t="s">
        <v>264</v>
      </c>
      <c r="D176" s="17" t="s">
        <v>793</v>
      </c>
      <c r="E176" s="17" t="s">
        <v>795</v>
      </c>
      <c r="F176" s="17">
        <v>220</v>
      </c>
      <c r="G176" s="17">
        <v>8.3000000000000007</v>
      </c>
      <c r="H176" s="17" t="str">
        <f>INDEX(Employees!$B$2:$B$17,MATCH(B176,Employees!$A$2:$A$17,0))</f>
        <v>Skyler</v>
      </c>
      <c r="I176" s="17" t="str">
        <f>INDEX(Employees!$C$2:$C$17,MATCH(B176,Employees!$A$2:$A$17,0))</f>
        <v>Receiving Clerk</v>
      </c>
      <c r="J176" s="25">
        <f t="shared" si="4"/>
        <v>26.506024096385541</v>
      </c>
      <c r="K176" s="19">
        <f>IF(J176=0,0,J176/INDEX('Labor Dashboard'!$C$36:$C$39,MATCH(E176,'Labor Dashboard'!$B$36:$B$39,0)))</f>
        <v>0.88353413654618473</v>
      </c>
      <c r="L176" s="18">
        <f t="shared" si="5"/>
        <v>2</v>
      </c>
      <c r="M176" s="20">
        <f>G176*INDEX(Employees!$E$2:$E$17,MATCH(B176,Employees!$A$2:$A$17,0))</f>
        <v>149.4</v>
      </c>
    </row>
    <row r="177" spans="1:13" ht="18" x14ac:dyDescent="0.2">
      <c r="A177" s="17">
        <v>1063</v>
      </c>
      <c r="B177" s="17">
        <v>28</v>
      </c>
      <c r="C177" s="17" t="s">
        <v>264</v>
      </c>
      <c r="D177" s="17" t="s">
        <v>793</v>
      </c>
      <c r="E177" s="17" t="s">
        <v>796</v>
      </c>
      <c r="F177" s="17">
        <v>187</v>
      </c>
      <c r="G177" s="17">
        <v>8.1999999999999993</v>
      </c>
      <c r="H177" s="17" t="str">
        <f>INDEX(Employees!$B$2:$B$17,MATCH(B177,Employees!$A$2:$A$17,0))</f>
        <v>Peyton</v>
      </c>
      <c r="I177" s="17" t="str">
        <f>INDEX(Employees!$C$2:$C$17,MATCH(B177,Employees!$A$2:$A$17,0))</f>
        <v>Cycle Counter</v>
      </c>
      <c r="J177" s="25">
        <f t="shared" si="4"/>
        <v>22.804878048780491</v>
      </c>
      <c r="K177" s="19">
        <f>IF(J177=0,0,J177/INDEX('Labor Dashboard'!$C$36:$C$39,MATCH(E177,'Labor Dashboard'!$B$36:$B$39,0)))</f>
        <v>0.91219512195121966</v>
      </c>
      <c r="L177" s="18">
        <f t="shared" si="5"/>
        <v>2</v>
      </c>
      <c r="M177" s="20">
        <f>G177*INDEX(Employees!$E$2:$E$17,MATCH(B177,Employees!$A$2:$A$17,0))</f>
        <v>147.6</v>
      </c>
    </row>
    <row r="178" spans="1:13" ht="18" x14ac:dyDescent="0.2">
      <c r="A178" s="17">
        <v>1064</v>
      </c>
      <c r="B178" s="17">
        <v>29</v>
      </c>
      <c r="C178" s="17" t="s">
        <v>264</v>
      </c>
      <c r="D178" s="17" t="s">
        <v>793</v>
      </c>
      <c r="E178" s="17" t="s">
        <v>796</v>
      </c>
      <c r="F178" s="17">
        <v>199</v>
      </c>
      <c r="G178" s="17">
        <v>8.4</v>
      </c>
      <c r="H178" s="17" t="str">
        <f>INDEX(Employees!$B$2:$B$17,MATCH(B178,Employees!$A$2:$A$17,0))</f>
        <v>Rowan</v>
      </c>
      <c r="I178" s="17" t="str">
        <f>INDEX(Employees!$C$2:$C$17,MATCH(B178,Employees!$A$2:$A$17,0))</f>
        <v>Cycle Counter</v>
      </c>
      <c r="J178" s="25">
        <f t="shared" si="4"/>
        <v>23.69047619047619</v>
      </c>
      <c r="K178" s="19">
        <f>IF(J178=0,0,J178/INDEX('Labor Dashboard'!$C$36:$C$39,MATCH(E178,'Labor Dashboard'!$B$36:$B$39,0)))</f>
        <v>0.94761904761904758</v>
      </c>
      <c r="L178" s="18">
        <f t="shared" si="5"/>
        <v>2</v>
      </c>
      <c r="M178" s="20">
        <f>G178*INDEX(Employees!$E$2:$E$17,MATCH(B178,Employees!$A$2:$A$17,0))</f>
        <v>151.20000000000002</v>
      </c>
    </row>
    <row r="179" spans="1:13" ht="18" x14ac:dyDescent="0.2">
      <c r="A179" s="17">
        <v>1065</v>
      </c>
      <c r="B179" s="17">
        <v>30</v>
      </c>
      <c r="C179" s="17" t="s">
        <v>264</v>
      </c>
      <c r="D179" s="17" t="s">
        <v>791</v>
      </c>
      <c r="E179" s="17" t="s">
        <v>796</v>
      </c>
      <c r="F179" s="17">
        <v>176</v>
      </c>
      <c r="G179" s="17">
        <v>8.4</v>
      </c>
      <c r="H179" s="17" t="str">
        <f>INDEX(Employees!$B$2:$B$17,MATCH(B179,Employees!$A$2:$A$17,0))</f>
        <v>Emerson</v>
      </c>
      <c r="I179" s="17" t="str">
        <f>INDEX(Employees!$C$2:$C$17,MATCH(B179,Employees!$A$2:$A$17,0))</f>
        <v>Shift Supervisor</v>
      </c>
      <c r="J179" s="25">
        <f t="shared" si="4"/>
        <v>20.952380952380953</v>
      </c>
      <c r="K179" s="19">
        <f>IF(J179=0,0,J179/INDEX('Labor Dashboard'!$C$36:$C$39,MATCH(E179,'Labor Dashboard'!$B$36:$B$39,0)))</f>
        <v>0.83809523809523812</v>
      </c>
      <c r="L179" s="18">
        <f t="shared" si="5"/>
        <v>2</v>
      </c>
      <c r="M179" s="20">
        <f>G179*INDEX(Employees!$E$2:$E$17,MATCH(B179,Employees!$A$2:$A$17,0))</f>
        <v>201.60000000000002</v>
      </c>
    </row>
    <row r="180" spans="1:13" ht="18" x14ac:dyDescent="0.2">
      <c r="A180" s="17">
        <v>1066</v>
      </c>
      <c r="B180" s="17">
        <v>31</v>
      </c>
      <c r="C180" s="17" t="s">
        <v>264</v>
      </c>
      <c r="D180" s="17" t="s">
        <v>793</v>
      </c>
      <c r="E180" s="17" t="s">
        <v>795</v>
      </c>
      <c r="F180" s="17">
        <v>243</v>
      </c>
      <c r="G180" s="17">
        <v>7.3</v>
      </c>
      <c r="H180" s="17" t="str">
        <f>INDEX(Employees!$B$2:$B$17,MATCH(B180,Employees!$A$2:$A$17,0))</f>
        <v>Finley</v>
      </c>
      <c r="I180" s="17" t="str">
        <f>INDEX(Employees!$C$2:$C$17,MATCH(B180,Employees!$A$2:$A$17,0))</f>
        <v>Shift Supervisor</v>
      </c>
      <c r="J180" s="25">
        <f t="shared" si="4"/>
        <v>33.287671232876711</v>
      </c>
      <c r="K180" s="19">
        <f>IF(J180=0,0,J180/INDEX('Labor Dashboard'!$C$36:$C$39,MATCH(E180,'Labor Dashboard'!$B$36:$B$39,0)))</f>
        <v>1.1095890410958904</v>
      </c>
      <c r="L180" s="18">
        <f t="shared" si="5"/>
        <v>2</v>
      </c>
      <c r="M180" s="20">
        <f>G180*INDEX(Employees!$E$2:$E$17,MATCH(B180,Employees!$A$2:$A$17,0))</f>
        <v>175.2</v>
      </c>
    </row>
    <row r="181" spans="1:13" ht="18" x14ac:dyDescent="0.2">
      <c r="A181" s="17">
        <v>1067</v>
      </c>
      <c r="B181" s="17">
        <v>32</v>
      </c>
      <c r="C181" s="17" t="s">
        <v>264</v>
      </c>
      <c r="D181" s="17" t="s">
        <v>791</v>
      </c>
      <c r="E181" s="17" t="s">
        <v>794</v>
      </c>
      <c r="F181" s="17">
        <v>336</v>
      </c>
      <c r="G181" s="17">
        <v>7.6</v>
      </c>
      <c r="H181" s="17" t="str">
        <f>INDEX(Employees!$B$2:$B$17,MATCH(B181,Employees!$A$2:$A$17,0))</f>
        <v>Sawyer</v>
      </c>
      <c r="I181" s="17" t="str">
        <f>INDEX(Employees!$C$2:$C$17,MATCH(B181,Employees!$A$2:$A$17,0))</f>
        <v>Shift Supervisor</v>
      </c>
      <c r="J181" s="25">
        <f t="shared" si="4"/>
        <v>44.210526315789473</v>
      </c>
      <c r="K181" s="19">
        <f>IF(J181=0,0,J181/INDEX('Labor Dashboard'!$C$36:$C$39,MATCH(E181,'Labor Dashboard'!$B$36:$B$39,0)))</f>
        <v>0.98245614035087714</v>
      </c>
      <c r="L181" s="18">
        <f t="shared" si="5"/>
        <v>2</v>
      </c>
      <c r="M181" s="20">
        <f>G181*INDEX(Employees!$E$2:$E$17,MATCH(B181,Employees!$A$2:$A$17,0))</f>
        <v>182.39999999999998</v>
      </c>
    </row>
    <row r="182" spans="1:13" ht="18" x14ac:dyDescent="0.2">
      <c r="A182" s="17">
        <v>1068</v>
      </c>
      <c r="B182" s="17">
        <v>17</v>
      </c>
      <c r="C182" s="17" t="s">
        <v>239</v>
      </c>
      <c r="D182" s="17" t="s">
        <v>793</v>
      </c>
      <c r="E182" s="17" t="s">
        <v>792</v>
      </c>
      <c r="F182" s="17">
        <v>392</v>
      </c>
      <c r="G182" s="17">
        <v>7.5</v>
      </c>
      <c r="H182" s="17" t="str">
        <f>INDEX(Employees!$B$2:$B$17,MATCH(B182,Employees!$A$2:$A$17,0))</f>
        <v>Jordan</v>
      </c>
      <c r="I182" s="17" t="str">
        <f>INDEX(Employees!$C$2:$C$17,MATCH(B182,Employees!$A$2:$A$17,0))</f>
        <v>Picker</v>
      </c>
      <c r="J182" s="25">
        <f t="shared" si="4"/>
        <v>52.266666666666666</v>
      </c>
      <c r="K182" s="19">
        <f>IF(J182=0,0,J182/INDEX('Labor Dashboard'!$C$36:$C$39,MATCH(E182,'Labor Dashboard'!$B$36:$B$39,0)))</f>
        <v>0.95030303030303032</v>
      </c>
      <c r="L182" s="18">
        <f t="shared" si="5"/>
        <v>2</v>
      </c>
      <c r="M182" s="20">
        <f>G182*INDEX(Employees!$E$2:$E$17,MATCH(B182,Employees!$A$2:$A$17,0))</f>
        <v>127.5</v>
      </c>
    </row>
    <row r="183" spans="1:13" ht="18" x14ac:dyDescent="0.2">
      <c r="A183" s="17">
        <v>1069</v>
      </c>
      <c r="B183" s="17">
        <v>18</v>
      </c>
      <c r="C183" s="17" t="s">
        <v>239</v>
      </c>
      <c r="D183" s="17" t="s">
        <v>791</v>
      </c>
      <c r="E183" s="17" t="s">
        <v>792</v>
      </c>
      <c r="F183" s="17">
        <v>466</v>
      </c>
      <c r="G183" s="17">
        <v>8.1</v>
      </c>
      <c r="H183" s="17" t="str">
        <f>INDEX(Employees!$B$2:$B$17,MATCH(B183,Employees!$A$2:$A$17,0))</f>
        <v>Casey</v>
      </c>
      <c r="I183" s="17" t="str">
        <f>INDEX(Employees!$C$2:$C$17,MATCH(B183,Employees!$A$2:$A$17,0))</f>
        <v>Picker</v>
      </c>
      <c r="J183" s="25">
        <f t="shared" si="4"/>
        <v>57.530864197530867</v>
      </c>
      <c r="K183" s="19">
        <f>IF(J183=0,0,J183/INDEX('Labor Dashboard'!$C$36:$C$39,MATCH(E183,'Labor Dashboard'!$B$36:$B$39,0)))</f>
        <v>1.0460157126823795</v>
      </c>
      <c r="L183" s="18">
        <f t="shared" si="5"/>
        <v>2</v>
      </c>
      <c r="M183" s="20">
        <f>G183*INDEX(Employees!$E$2:$E$17,MATCH(B183,Employees!$A$2:$A$17,0))</f>
        <v>137.69999999999999</v>
      </c>
    </row>
    <row r="184" spans="1:13" ht="18" x14ac:dyDescent="0.2">
      <c r="A184" s="17">
        <v>1070</v>
      </c>
      <c r="B184" s="17">
        <v>21</v>
      </c>
      <c r="C184" s="17" t="s">
        <v>239</v>
      </c>
      <c r="D184" s="17" t="s">
        <v>793</v>
      </c>
      <c r="E184" s="17" t="s">
        <v>794</v>
      </c>
      <c r="F184" s="17">
        <v>301</v>
      </c>
      <c r="G184" s="17">
        <v>7</v>
      </c>
      <c r="H184" s="17" t="str">
        <f>INDEX(Employees!$B$2:$B$17,MATCH(B184,Employees!$A$2:$A$17,0))</f>
        <v>Riley</v>
      </c>
      <c r="I184" s="17" t="str">
        <f>INDEX(Employees!$C$2:$C$17,MATCH(B184,Employees!$A$2:$A$17,0))</f>
        <v>Packer</v>
      </c>
      <c r="J184" s="25">
        <f t="shared" si="4"/>
        <v>43</v>
      </c>
      <c r="K184" s="19">
        <f>IF(J184=0,0,J184/INDEX('Labor Dashboard'!$C$36:$C$39,MATCH(E184,'Labor Dashboard'!$B$36:$B$39,0)))</f>
        <v>0.9555555555555556</v>
      </c>
      <c r="L184" s="18">
        <f t="shared" si="5"/>
        <v>2</v>
      </c>
      <c r="M184" s="20">
        <f>G184*INDEX(Employees!$E$2:$E$17,MATCH(B184,Employees!$A$2:$A$17,0))</f>
        <v>119</v>
      </c>
    </row>
    <row r="185" spans="1:13" ht="18" x14ac:dyDescent="0.2">
      <c r="A185" s="17">
        <v>1071</v>
      </c>
      <c r="B185" s="17">
        <v>22</v>
      </c>
      <c r="C185" s="17" t="s">
        <v>239</v>
      </c>
      <c r="D185" s="17" t="s">
        <v>791</v>
      </c>
      <c r="E185" s="17" t="s">
        <v>794</v>
      </c>
      <c r="F185" s="17">
        <v>351</v>
      </c>
      <c r="G185" s="17">
        <v>7.2</v>
      </c>
      <c r="H185" s="17" t="str">
        <f>INDEX(Employees!$B$2:$B$17,MATCH(B185,Employees!$A$2:$A$17,0))</f>
        <v>Avery</v>
      </c>
      <c r="I185" s="17" t="str">
        <f>INDEX(Employees!$C$2:$C$17,MATCH(B185,Employees!$A$2:$A$17,0))</f>
        <v>Packer</v>
      </c>
      <c r="J185" s="25">
        <f t="shared" si="4"/>
        <v>48.75</v>
      </c>
      <c r="K185" s="19">
        <f>IF(J185=0,0,J185/INDEX('Labor Dashboard'!$C$36:$C$39,MATCH(E185,'Labor Dashboard'!$B$36:$B$39,0)))</f>
        <v>1.0833333333333333</v>
      </c>
      <c r="L185" s="18">
        <f t="shared" si="5"/>
        <v>2</v>
      </c>
      <c r="M185" s="20">
        <f>G185*INDEX(Employees!$E$2:$E$17,MATCH(B185,Employees!$A$2:$A$17,0))</f>
        <v>122.4</v>
      </c>
    </row>
    <row r="186" spans="1:13" ht="18" x14ac:dyDescent="0.2">
      <c r="A186" s="17">
        <v>1072</v>
      </c>
      <c r="B186" s="17">
        <v>23</v>
      </c>
      <c r="C186" s="17" t="s">
        <v>239</v>
      </c>
      <c r="D186" s="17" t="s">
        <v>791</v>
      </c>
      <c r="E186" s="17" t="s">
        <v>794</v>
      </c>
      <c r="F186" s="17">
        <v>402</v>
      </c>
      <c r="G186" s="17">
        <v>8.4</v>
      </c>
      <c r="H186" s="17" t="str">
        <f>INDEX(Employees!$B$2:$B$17,MATCH(B186,Employees!$A$2:$A$17,0))</f>
        <v>Cameron</v>
      </c>
      <c r="I186" s="17" t="str">
        <f>INDEX(Employees!$C$2:$C$17,MATCH(B186,Employees!$A$2:$A$17,0))</f>
        <v>Packer</v>
      </c>
      <c r="J186" s="25">
        <f t="shared" si="4"/>
        <v>47.857142857142854</v>
      </c>
      <c r="K186" s="19">
        <f>IF(J186=0,0,J186/INDEX('Labor Dashboard'!$C$36:$C$39,MATCH(E186,'Labor Dashboard'!$B$36:$B$39,0)))</f>
        <v>1.0634920634920635</v>
      </c>
      <c r="L186" s="18">
        <f t="shared" si="5"/>
        <v>2</v>
      </c>
      <c r="M186" s="20">
        <f>G186*INDEX(Employees!$E$2:$E$17,MATCH(B186,Employees!$A$2:$A$17,0))</f>
        <v>142.80000000000001</v>
      </c>
    </row>
    <row r="187" spans="1:13" ht="18" x14ac:dyDescent="0.2">
      <c r="A187" s="17">
        <v>1073</v>
      </c>
      <c r="B187" s="17">
        <v>24</v>
      </c>
      <c r="C187" s="17" t="s">
        <v>239</v>
      </c>
      <c r="D187" s="17" t="s">
        <v>793</v>
      </c>
      <c r="E187" s="17" t="s">
        <v>795</v>
      </c>
      <c r="F187" s="17">
        <v>254</v>
      </c>
      <c r="G187" s="17">
        <v>7.9</v>
      </c>
      <c r="H187" s="17" t="str">
        <f>INDEX(Employees!$B$2:$B$17,MATCH(B187,Employees!$A$2:$A$17,0))</f>
        <v>Dakota</v>
      </c>
      <c r="I187" s="17" t="str">
        <f>INDEX(Employees!$C$2:$C$17,MATCH(B187,Employees!$A$2:$A$17,0))</f>
        <v>Forklift Operator</v>
      </c>
      <c r="J187" s="25">
        <f t="shared" si="4"/>
        <v>32.151898734177216</v>
      </c>
      <c r="K187" s="19">
        <f>IF(J187=0,0,J187/INDEX('Labor Dashboard'!$C$36:$C$39,MATCH(E187,'Labor Dashboard'!$B$36:$B$39,0)))</f>
        <v>1.0717299578059072</v>
      </c>
      <c r="L187" s="18">
        <f t="shared" si="5"/>
        <v>2</v>
      </c>
      <c r="M187" s="20">
        <f>G187*INDEX(Employees!$E$2:$E$17,MATCH(B187,Employees!$A$2:$A$17,0))</f>
        <v>154.05000000000001</v>
      </c>
    </row>
    <row r="188" spans="1:13" ht="18" x14ac:dyDescent="0.2">
      <c r="A188" s="17">
        <v>1074</v>
      </c>
      <c r="B188" s="17">
        <v>25</v>
      </c>
      <c r="C188" s="17" t="s">
        <v>239</v>
      </c>
      <c r="D188" s="17" t="s">
        <v>793</v>
      </c>
      <c r="E188" s="17" t="s">
        <v>792</v>
      </c>
      <c r="F188" s="17">
        <v>367</v>
      </c>
      <c r="G188" s="17">
        <v>7.3</v>
      </c>
      <c r="H188" s="17" t="str">
        <f>INDEX(Employees!$B$2:$B$17,MATCH(B188,Employees!$A$2:$A$17,0))</f>
        <v>Hayden</v>
      </c>
      <c r="I188" s="17" t="str">
        <f>INDEX(Employees!$C$2:$C$17,MATCH(B188,Employees!$A$2:$A$17,0))</f>
        <v>Forklift Operator</v>
      </c>
      <c r="J188" s="25">
        <f t="shared" si="4"/>
        <v>50.273972602739725</v>
      </c>
      <c r="K188" s="19">
        <f>IF(J188=0,0,J188/INDEX('Labor Dashboard'!$C$36:$C$39,MATCH(E188,'Labor Dashboard'!$B$36:$B$39,0)))</f>
        <v>0.91407222914072228</v>
      </c>
      <c r="L188" s="18">
        <f t="shared" si="5"/>
        <v>2</v>
      </c>
      <c r="M188" s="20">
        <f>G188*INDEX(Employees!$E$2:$E$17,MATCH(B188,Employees!$A$2:$A$17,0))</f>
        <v>142.35</v>
      </c>
    </row>
    <row r="189" spans="1:13" ht="18" x14ac:dyDescent="0.2">
      <c r="A189" s="17">
        <v>1075</v>
      </c>
      <c r="B189" s="17">
        <v>27</v>
      </c>
      <c r="C189" s="17" t="s">
        <v>239</v>
      </c>
      <c r="D189" s="17" t="s">
        <v>793</v>
      </c>
      <c r="E189" s="17" t="s">
        <v>795</v>
      </c>
      <c r="F189" s="17">
        <v>173</v>
      </c>
      <c r="G189" s="17">
        <v>6.5</v>
      </c>
      <c r="H189" s="17" t="str">
        <f>INDEX(Employees!$B$2:$B$17,MATCH(B189,Employees!$A$2:$A$17,0))</f>
        <v>Skyler</v>
      </c>
      <c r="I189" s="17" t="str">
        <f>INDEX(Employees!$C$2:$C$17,MATCH(B189,Employees!$A$2:$A$17,0))</f>
        <v>Receiving Clerk</v>
      </c>
      <c r="J189" s="25">
        <f t="shared" si="4"/>
        <v>26.615384615384617</v>
      </c>
      <c r="K189" s="19">
        <f>IF(J189=0,0,J189/INDEX('Labor Dashboard'!$C$36:$C$39,MATCH(E189,'Labor Dashboard'!$B$36:$B$39,0)))</f>
        <v>0.88717948717948725</v>
      </c>
      <c r="L189" s="18">
        <f t="shared" si="5"/>
        <v>2</v>
      </c>
      <c r="M189" s="20">
        <f>G189*INDEX(Employees!$E$2:$E$17,MATCH(B189,Employees!$A$2:$A$17,0))</f>
        <v>117</v>
      </c>
    </row>
    <row r="190" spans="1:13" ht="18" x14ac:dyDescent="0.2">
      <c r="A190" s="17">
        <v>1076</v>
      </c>
      <c r="B190" s="17">
        <v>28</v>
      </c>
      <c r="C190" s="17" t="s">
        <v>239</v>
      </c>
      <c r="D190" s="17" t="s">
        <v>793</v>
      </c>
      <c r="E190" s="17" t="s">
        <v>796</v>
      </c>
      <c r="F190" s="17">
        <v>176</v>
      </c>
      <c r="G190" s="17">
        <v>7.1</v>
      </c>
      <c r="H190" s="17" t="str">
        <f>INDEX(Employees!$B$2:$B$17,MATCH(B190,Employees!$A$2:$A$17,0))</f>
        <v>Peyton</v>
      </c>
      <c r="I190" s="17" t="str">
        <f>INDEX(Employees!$C$2:$C$17,MATCH(B190,Employees!$A$2:$A$17,0))</f>
        <v>Cycle Counter</v>
      </c>
      <c r="J190" s="25">
        <f t="shared" si="4"/>
        <v>24.7887323943662</v>
      </c>
      <c r="K190" s="19">
        <f>IF(J190=0,0,J190/INDEX('Labor Dashboard'!$C$36:$C$39,MATCH(E190,'Labor Dashboard'!$B$36:$B$39,0)))</f>
        <v>0.99154929577464801</v>
      </c>
      <c r="L190" s="18">
        <f t="shared" si="5"/>
        <v>2</v>
      </c>
      <c r="M190" s="20">
        <f>G190*INDEX(Employees!$E$2:$E$17,MATCH(B190,Employees!$A$2:$A$17,0))</f>
        <v>127.8</v>
      </c>
    </row>
    <row r="191" spans="1:13" ht="18" x14ac:dyDescent="0.2">
      <c r="A191" s="17">
        <v>1077</v>
      </c>
      <c r="B191" s="17">
        <v>29</v>
      </c>
      <c r="C191" s="17" t="s">
        <v>239</v>
      </c>
      <c r="D191" s="17" t="s">
        <v>791</v>
      </c>
      <c r="E191" s="17" t="s">
        <v>796</v>
      </c>
      <c r="F191" s="17">
        <v>217</v>
      </c>
      <c r="G191" s="17">
        <v>8.1</v>
      </c>
      <c r="H191" s="17" t="str">
        <f>INDEX(Employees!$B$2:$B$17,MATCH(B191,Employees!$A$2:$A$17,0))</f>
        <v>Rowan</v>
      </c>
      <c r="I191" s="17" t="str">
        <f>INDEX(Employees!$C$2:$C$17,MATCH(B191,Employees!$A$2:$A$17,0))</f>
        <v>Cycle Counter</v>
      </c>
      <c r="J191" s="25">
        <f t="shared" si="4"/>
        <v>26.790123456790123</v>
      </c>
      <c r="K191" s="19">
        <f>IF(J191=0,0,J191/INDEX('Labor Dashboard'!$C$36:$C$39,MATCH(E191,'Labor Dashboard'!$B$36:$B$39,0)))</f>
        <v>1.0716049382716049</v>
      </c>
      <c r="L191" s="18">
        <f t="shared" si="5"/>
        <v>2</v>
      </c>
      <c r="M191" s="20">
        <f>G191*INDEX(Employees!$E$2:$E$17,MATCH(B191,Employees!$A$2:$A$17,0))</f>
        <v>145.79999999999998</v>
      </c>
    </row>
    <row r="192" spans="1:13" ht="18" x14ac:dyDescent="0.2">
      <c r="A192" s="17">
        <v>1078</v>
      </c>
      <c r="B192" s="17">
        <v>30</v>
      </c>
      <c r="C192" s="17" t="s">
        <v>239</v>
      </c>
      <c r="D192" s="17" t="s">
        <v>793</v>
      </c>
      <c r="E192" s="17" t="s">
        <v>795</v>
      </c>
      <c r="F192" s="17">
        <v>159</v>
      </c>
      <c r="G192" s="17">
        <v>6.9</v>
      </c>
      <c r="H192" s="17" t="str">
        <f>INDEX(Employees!$B$2:$B$17,MATCH(B192,Employees!$A$2:$A$17,0))</f>
        <v>Emerson</v>
      </c>
      <c r="I192" s="17" t="str">
        <f>INDEX(Employees!$C$2:$C$17,MATCH(B192,Employees!$A$2:$A$17,0))</f>
        <v>Shift Supervisor</v>
      </c>
      <c r="J192" s="25">
        <f t="shared" si="4"/>
        <v>23.043478260869563</v>
      </c>
      <c r="K192" s="19">
        <f>IF(J192=0,0,J192/INDEX('Labor Dashboard'!$C$36:$C$39,MATCH(E192,'Labor Dashboard'!$B$36:$B$39,0)))</f>
        <v>0.76811594202898548</v>
      </c>
      <c r="L192" s="18">
        <f t="shared" si="5"/>
        <v>2</v>
      </c>
      <c r="M192" s="20">
        <f>G192*INDEX(Employees!$E$2:$E$17,MATCH(B192,Employees!$A$2:$A$17,0))</f>
        <v>165.60000000000002</v>
      </c>
    </row>
    <row r="193" spans="1:13" ht="18" x14ac:dyDescent="0.2">
      <c r="A193" s="17">
        <v>1079</v>
      </c>
      <c r="B193" s="17">
        <v>17</v>
      </c>
      <c r="C193" s="17" t="s">
        <v>236</v>
      </c>
      <c r="D193" s="17" t="s">
        <v>793</v>
      </c>
      <c r="E193" s="17" t="s">
        <v>792</v>
      </c>
      <c r="F193" s="17">
        <v>355</v>
      </c>
      <c r="G193" s="17">
        <v>7.3</v>
      </c>
      <c r="H193" s="17" t="str">
        <f>INDEX(Employees!$B$2:$B$17,MATCH(B193,Employees!$A$2:$A$17,0))</f>
        <v>Jordan</v>
      </c>
      <c r="I193" s="17" t="str">
        <f>INDEX(Employees!$C$2:$C$17,MATCH(B193,Employees!$A$2:$A$17,0))</f>
        <v>Picker</v>
      </c>
      <c r="J193" s="25">
        <f t="shared" si="4"/>
        <v>48.630136986301373</v>
      </c>
      <c r="K193" s="19">
        <f>IF(J193=0,0,J193/INDEX('Labor Dashboard'!$C$36:$C$39,MATCH(E193,'Labor Dashboard'!$B$36:$B$39,0)))</f>
        <v>0.88418430884184318</v>
      </c>
      <c r="L193" s="18">
        <f t="shared" si="5"/>
        <v>2</v>
      </c>
      <c r="M193" s="20">
        <f>G193*INDEX(Employees!$E$2:$E$17,MATCH(B193,Employees!$A$2:$A$17,0))</f>
        <v>124.1</v>
      </c>
    </row>
    <row r="194" spans="1:13" ht="18" x14ac:dyDescent="0.2">
      <c r="A194" s="17">
        <v>1080</v>
      </c>
      <c r="B194" s="17">
        <v>18</v>
      </c>
      <c r="C194" s="17" t="s">
        <v>236</v>
      </c>
      <c r="D194" s="17" t="s">
        <v>791</v>
      </c>
      <c r="E194" s="17" t="s">
        <v>792</v>
      </c>
      <c r="F194" s="17">
        <v>447</v>
      </c>
      <c r="G194" s="17">
        <v>7.4</v>
      </c>
      <c r="H194" s="17" t="str">
        <f>INDEX(Employees!$B$2:$B$17,MATCH(B194,Employees!$A$2:$A$17,0))</f>
        <v>Casey</v>
      </c>
      <c r="I194" s="17" t="str">
        <f>INDEX(Employees!$C$2:$C$17,MATCH(B194,Employees!$A$2:$A$17,0))</f>
        <v>Picker</v>
      </c>
      <c r="J194" s="25">
        <f t="shared" ref="J194:J257" si="6">IF(G194=0,0,F194/G194)</f>
        <v>60.405405405405403</v>
      </c>
      <c r="K194" s="19">
        <f>IF(J194=0,0,J194/INDEX('Labor Dashboard'!$C$36:$C$39,MATCH(E194,'Labor Dashboard'!$B$36:$B$39,0)))</f>
        <v>1.0982800982800982</v>
      </c>
      <c r="L194" s="18">
        <f t="shared" ref="L194:L257" si="7">INT((DATEVALUE(C194)-DATE(2026,4,6))/7)</f>
        <v>2</v>
      </c>
      <c r="M194" s="20">
        <f>G194*INDEX(Employees!$E$2:$E$17,MATCH(B194,Employees!$A$2:$A$17,0))</f>
        <v>125.80000000000001</v>
      </c>
    </row>
    <row r="195" spans="1:13" ht="18" x14ac:dyDescent="0.2">
      <c r="A195" s="17">
        <v>1081</v>
      </c>
      <c r="B195" s="17">
        <v>19</v>
      </c>
      <c r="C195" s="17" t="s">
        <v>236</v>
      </c>
      <c r="D195" s="17" t="s">
        <v>793</v>
      </c>
      <c r="E195" s="17" t="s">
        <v>792</v>
      </c>
      <c r="F195" s="17">
        <v>451</v>
      </c>
      <c r="G195" s="17">
        <v>7.4</v>
      </c>
      <c r="H195" s="17" t="str">
        <f>INDEX(Employees!$B$2:$B$17,MATCH(B195,Employees!$A$2:$A$17,0))</f>
        <v>Morgan</v>
      </c>
      <c r="I195" s="17" t="str">
        <f>INDEX(Employees!$C$2:$C$17,MATCH(B195,Employees!$A$2:$A$17,0))</f>
        <v>Picker</v>
      </c>
      <c r="J195" s="25">
        <f t="shared" si="6"/>
        <v>60.945945945945944</v>
      </c>
      <c r="K195" s="19">
        <f>IF(J195=0,0,J195/INDEX('Labor Dashboard'!$C$36:$C$39,MATCH(E195,'Labor Dashboard'!$B$36:$B$39,0)))</f>
        <v>1.1081081081081081</v>
      </c>
      <c r="L195" s="18">
        <f t="shared" si="7"/>
        <v>2</v>
      </c>
      <c r="M195" s="20">
        <f>G195*INDEX(Employees!$E$2:$E$17,MATCH(B195,Employees!$A$2:$A$17,0))</f>
        <v>125.80000000000001</v>
      </c>
    </row>
    <row r="196" spans="1:13" ht="18" x14ac:dyDescent="0.2">
      <c r="A196" s="17">
        <v>1082</v>
      </c>
      <c r="B196" s="17">
        <v>20</v>
      </c>
      <c r="C196" s="17" t="s">
        <v>236</v>
      </c>
      <c r="D196" s="17" t="s">
        <v>793</v>
      </c>
      <c r="E196" s="17" t="s">
        <v>792</v>
      </c>
      <c r="F196" s="17">
        <v>395</v>
      </c>
      <c r="G196" s="17">
        <v>7</v>
      </c>
      <c r="H196" s="17" t="str">
        <f>INDEX(Employees!$B$2:$B$17,MATCH(B196,Employees!$A$2:$A$17,0))</f>
        <v>Taylor</v>
      </c>
      <c r="I196" s="17" t="str">
        <f>INDEX(Employees!$C$2:$C$17,MATCH(B196,Employees!$A$2:$A$17,0))</f>
        <v>Picker</v>
      </c>
      <c r="J196" s="25">
        <f t="shared" si="6"/>
        <v>56.428571428571431</v>
      </c>
      <c r="K196" s="19">
        <f>IF(J196=0,0,J196/INDEX('Labor Dashboard'!$C$36:$C$39,MATCH(E196,'Labor Dashboard'!$B$36:$B$39,0)))</f>
        <v>1.025974025974026</v>
      </c>
      <c r="L196" s="18">
        <f t="shared" si="7"/>
        <v>2</v>
      </c>
      <c r="M196" s="20">
        <f>G196*INDEX(Employees!$E$2:$E$17,MATCH(B196,Employees!$A$2:$A$17,0))</f>
        <v>119</v>
      </c>
    </row>
    <row r="197" spans="1:13" ht="18" x14ac:dyDescent="0.2">
      <c r="A197" s="17">
        <v>1083</v>
      </c>
      <c r="B197" s="17">
        <v>21</v>
      </c>
      <c r="C197" s="17" t="s">
        <v>236</v>
      </c>
      <c r="D197" s="17" t="s">
        <v>791</v>
      </c>
      <c r="E197" s="17" t="s">
        <v>794</v>
      </c>
      <c r="F197" s="17">
        <v>328</v>
      </c>
      <c r="G197" s="17">
        <v>7.9</v>
      </c>
      <c r="H197" s="17" t="str">
        <f>INDEX(Employees!$B$2:$B$17,MATCH(B197,Employees!$A$2:$A$17,0))</f>
        <v>Riley</v>
      </c>
      <c r="I197" s="17" t="str">
        <f>INDEX(Employees!$C$2:$C$17,MATCH(B197,Employees!$A$2:$A$17,0))</f>
        <v>Packer</v>
      </c>
      <c r="J197" s="25">
        <f t="shared" si="6"/>
        <v>41.518987341772153</v>
      </c>
      <c r="K197" s="19">
        <f>IF(J197=0,0,J197/INDEX('Labor Dashboard'!$C$36:$C$39,MATCH(E197,'Labor Dashboard'!$B$36:$B$39,0)))</f>
        <v>0.92264416315049225</v>
      </c>
      <c r="L197" s="18">
        <f t="shared" si="7"/>
        <v>2</v>
      </c>
      <c r="M197" s="20">
        <f>G197*INDEX(Employees!$E$2:$E$17,MATCH(B197,Employees!$A$2:$A$17,0))</f>
        <v>134.30000000000001</v>
      </c>
    </row>
    <row r="198" spans="1:13" ht="18" x14ac:dyDescent="0.2">
      <c r="A198" s="17">
        <v>1084</v>
      </c>
      <c r="B198" s="17">
        <v>22</v>
      </c>
      <c r="C198" s="17" t="s">
        <v>236</v>
      </c>
      <c r="D198" s="17" t="s">
        <v>791</v>
      </c>
      <c r="E198" s="17" t="s">
        <v>794</v>
      </c>
      <c r="F198" s="17">
        <v>377</v>
      </c>
      <c r="G198" s="17">
        <v>7.6</v>
      </c>
      <c r="H198" s="17" t="str">
        <f>INDEX(Employees!$B$2:$B$17,MATCH(B198,Employees!$A$2:$A$17,0))</f>
        <v>Avery</v>
      </c>
      <c r="I198" s="17" t="str">
        <f>INDEX(Employees!$C$2:$C$17,MATCH(B198,Employees!$A$2:$A$17,0))</f>
        <v>Packer</v>
      </c>
      <c r="J198" s="25">
        <f t="shared" si="6"/>
        <v>49.60526315789474</v>
      </c>
      <c r="K198" s="19">
        <f>IF(J198=0,0,J198/INDEX('Labor Dashboard'!$C$36:$C$39,MATCH(E198,'Labor Dashboard'!$B$36:$B$39,0)))</f>
        <v>1.1023391812865497</v>
      </c>
      <c r="L198" s="18">
        <f t="shared" si="7"/>
        <v>2</v>
      </c>
      <c r="M198" s="20">
        <f>G198*INDEX(Employees!$E$2:$E$17,MATCH(B198,Employees!$A$2:$A$17,0))</f>
        <v>129.19999999999999</v>
      </c>
    </row>
    <row r="199" spans="1:13" ht="18" x14ac:dyDescent="0.2">
      <c r="A199" s="17">
        <v>1085</v>
      </c>
      <c r="B199" s="17">
        <v>23</v>
      </c>
      <c r="C199" s="17" t="s">
        <v>236</v>
      </c>
      <c r="D199" s="17" t="s">
        <v>791</v>
      </c>
      <c r="E199" s="17" t="s">
        <v>794</v>
      </c>
      <c r="F199" s="17">
        <v>368</v>
      </c>
      <c r="G199" s="17">
        <v>6.9</v>
      </c>
      <c r="H199" s="17" t="str">
        <f>INDEX(Employees!$B$2:$B$17,MATCH(B199,Employees!$A$2:$A$17,0))</f>
        <v>Cameron</v>
      </c>
      <c r="I199" s="17" t="str">
        <f>INDEX(Employees!$C$2:$C$17,MATCH(B199,Employees!$A$2:$A$17,0))</f>
        <v>Packer</v>
      </c>
      <c r="J199" s="25">
        <f t="shared" si="6"/>
        <v>53.333333333333329</v>
      </c>
      <c r="K199" s="19">
        <f>IF(J199=0,0,J199/INDEX('Labor Dashboard'!$C$36:$C$39,MATCH(E199,'Labor Dashboard'!$B$36:$B$39,0)))</f>
        <v>1.1851851851851851</v>
      </c>
      <c r="L199" s="18">
        <f t="shared" si="7"/>
        <v>2</v>
      </c>
      <c r="M199" s="20">
        <f>G199*INDEX(Employees!$E$2:$E$17,MATCH(B199,Employees!$A$2:$A$17,0))</f>
        <v>117.30000000000001</v>
      </c>
    </row>
    <row r="200" spans="1:13" ht="18" x14ac:dyDescent="0.2">
      <c r="A200" s="17">
        <v>1086</v>
      </c>
      <c r="B200" s="17">
        <v>24</v>
      </c>
      <c r="C200" s="17" t="s">
        <v>236</v>
      </c>
      <c r="D200" s="17" t="s">
        <v>791</v>
      </c>
      <c r="E200" s="17" t="s">
        <v>792</v>
      </c>
      <c r="F200" s="17">
        <v>471</v>
      </c>
      <c r="G200" s="17">
        <v>8.3000000000000007</v>
      </c>
      <c r="H200" s="17" t="str">
        <f>INDEX(Employees!$B$2:$B$17,MATCH(B200,Employees!$A$2:$A$17,0))</f>
        <v>Dakota</v>
      </c>
      <c r="I200" s="17" t="str">
        <f>INDEX(Employees!$C$2:$C$17,MATCH(B200,Employees!$A$2:$A$17,0))</f>
        <v>Forklift Operator</v>
      </c>
      <c r="J200" s="25">
        <f t="shared" si="6"/>
        <v>56.746987951807228</v>
      </c>
      <c r="K200" s="19">
        <f>IF(J200=0,0,J200/INDEX('Labor Dashboard'!$C$36:$C$39,MATCH(E200,'Labor Dashboard'!$B$36:$B$39,0)))</f>
        <v>1.0317634173055859</v>
      </c>
      <c r="L200" s="18">
        <f t="shared" si="7"/>
        <v>2</v>
      </c>
      <c r="M200" s="20">
        <f>G200*INDEX(Employees!$E$2:$E$17,MATCH(B200,Employees!$A$2:$A$17,0))</f>
        <v>161.85000000000002</v>
      </c>
    </row>
    <row r="201" spans="1:13" ht="18" x14ac:dyDescent="0.2">
      <c r="A201" s="17">
        <v>1087</v>
      </c>
      <c r="B201" s="17">
        <v>25</v>
      </c>
      <c r="C201" s="17" t="s">
        <v>236</v>
      </c>
      <c r="D201" s="17" t="s">
        <v>793</v>
      </c>
      <c r="E201" s="17" t="s">
        <v>792</v>
      </c>
      <c r="F201" s="17">
        <v>420</v>
      </c>
      <c r="G201" s="17">
        <v>7.1</v>
      </c>
      <c r="H201" s="17" t="str">
        <f>INDEX(Employees!$B$2:$B$17,MATCH(B201,Employees!$A$2:$A$17,0))</f>
        <v>Hayden</v>
      </c>
      <c r="I201" s="17" t="str">
        <f>INDEX(Employees!$C$2:$C$17,MATCH(B201,Employees!$A$2:$A$17,0))</f>
        <v>Forklift Operator</v>
      </c>
      <c r="J201" s="25">
        <f t="shared" si="6"/>
        <v>59.154929577464792</v>
      </c>
      <c r="K201" s="19">
        <f>IF(J201=0,0,J201/INDEX('Labor Dashboard'!$C$36:$C$39,MATCH(E201,'Labor Dashboard'!$B$36:$B$39,0)))</f>
        <v>1.0755441741357235</v>
      </c>
      <c r="L201" s="18">
        <f t="shared" si="7"/>
        <v>2</v>
      </c>
      <c r="M201" s="20">
        <f>G201*INDEX(Employees!$E$2:$E$17,MATCH(B201,Employees!$A$2:$A$17,0))</f>
        <v>138.44999999999999</v>
      </c>
    </row>
    <row r="202" spans="1:13" ht="18" x14ac:dyDescent="0.2">
      <c r="A202" s="17">
        <v>1088</v>
      </c>
      <c r="B202" s="17">
        <v>26</v>
      </c>
      <c r="C202" s="17" t="s">
        <v>236</v>
      </c>
      <c r="D202" s="17" t="s">
        <v>793</v>
      </c>
      <c r="E202" s="17" t="s">
        <v>795</v>
      </c>
      <c r="F202" s="17">
        <v>216</v>
      </c>
      <c r="G202" s="17">
        <v>7.3</v>
      </c>
      <c r="H202" s="17" t="str">
        <f>INDEX(Employees!$B$2:$B$17,MATCH(B202,Employees!$A$2:$A$17,0))</f>
        <v>Reese</v>
      </c>
      <c r="I202" s="17" t="str">
        <f>INDEX(Employees!$C$2:$C$17,MATCH(B202,Employees!$A$2:$A$17,0))</f>
        <v>Receiving Clerk</v>
      </c>
      <c r="J202" s="25">
        <f t="shared" si="6"/>
        <v>29.589041095890412</v>
      </c>
      <c r="K202" s="19">
        <f>IF(J202=0,0,J202/INDEX('Labor Dashboard'!$C$36:$C$39,MATCH(E202,'Labor Dashboard'!$B$36:$B$39,0)))</f>
        <v>0.98630136986301375</v>
      </c>
      <c r="L202" s="18">
        <f t="shared" si="7"/>
        <v>2</v>
      </c>
      <c r="M202" s="20">
        <f>G202*INDEX(Employees!$E$2:$E$17,MATCH(B202,Employees!$A$2:$A$17,0))</f>
        <v>131.4</v>
      </c>
    </row>
    <row r="203" spans="1:13" ht="18" x14ac:dyDescent="0.2">
      <c r="A203" s="17">
        <v>1089</v>
      </c>
      <c r="B203" s="17">
        <v>27</v>
      </c>
      <c r="C203" s="17" t="s">
        <v>236</v>
      </c>
      <c r="D203" s="17" t="s">
        <v>793</v>
      </c>
      <c r="E203" s="17" t="s">
        <v>795</v>
      </c>
      <c r="F203" s="17">
        <v>181</v>
      </c>
      <c r="G203" s="17">
        <v>6.9</v>
      </c>
      <c r="H203" s="17" t="str">
        <f>INDEX(Employees!$B$2:$B$17,MATCH(B203,Employees!$A$2:$A$17,0))</f>
        <v>Skyler</v>
      </c>
      <c r="I203" s="17" t="str">
        <f>INDEX(Employees!$C$2:$C$17,MATCH(B203,Employees!$A$2:$A$17,0))</f>
        <v>Receiving Clerk</v>
      </c>
      <c r="J203" s="25">
        <f t="shared" si="6"/>
        <v>26.231884057971012</v>
      </c>
      <c r="K203" s="19">
        <f>IF(J203=0,0,J203/INDEX('Labor Dashboard'!$C$36:$C$39,MATCH(E203,'Labor Dashboard'!$B$36:$B$39,0)))</f>
        <v>0.87439613526570037</v>
      </c>
      <c r="L203" s="18">
        <f t="shared" si="7"/>
        <v>2</v>
      </c>
      <c r="M203" s="20">
        <f>G203*INDEX(Employees!$E$2:$E$17,MATCH(B203,Employees!$A$2:$A$17,0))</f>
        <v>124.2</v>
      </c>
    </row>
    <row r="204" spans="1:13" ht="18" x14ac:dyDescent="0.2">
      <c r="A204" s="17">
        <v>1090</v>
      </c>
      <c r="B204" s="17">
        <v>28</v>
      </c>
      <c r="C204" s="17" t="s">
        <v>236</v>
      </c>
      <c r="D204" s="17" t="s">
        <v>793</v>
      </c>
      <c r="E204" s="17" t="s">
        <v>796</v>
      </c>
      <c r="F204" s="17">
        <v>189</v>
      </c>
      <c r="G204" s="17">
        <v>8.3000000000000007</v>
      </c>
      <c r="H204" s="17" t="str">
        <f>INDEX(Employees!$B$2:$B$17,MATCH(B204,Employees!$A$2:$A$17,0))</f>
        <v>Peyton</v>
      </c>
      <c r="I204" s="17" t="str">
        <f>INDEX(Employees!$C$2:$C$17,MATCH(B204,Employees!$A$2:$A$17,0))</f>
        <v>Cycle Counter</v>
      </c>
      <c r="J204" s="25">
        <f t="shared" si="6"/>
        <v>22.771084337349397</v>
      </c>
      <c r="K204" s="19">
        <f>IF(J204=0,0,J204/INDEX('Labor Dashboard'!$C$36:$C$39,MATCH(E204,'Labor Dashboard'!$B$36:$B$39,0)))</f>
        <v>0.91084337349397582</v>
      </c>
      <c r="L204" s="18">
        <f t="shared" si="7"/>
        <v>2</v>
      </c>
      <c r="M204" s="20">
        <f>G204*INDEX(Employees!$E$2:$E$17,MATCH(B204,Employees!$A$2:$A$17,0))</f>
        <v>149.4</v>
      </c>
    </row>
    <row r="205" spans="1:13" ht="18" x14ac:dyDescent="0.2">
      <c r="A205" s="17">
        <v>1091</v>
      </c>
      <c r="B205" s="17">
        <v>29</v>
      </c>
      <c r="C205" s="17" t="s">
        <v>236</v>
      </c>
      <c r="D205" s="17" t="s">
        <v>793</v>
      </c>
      <c r="E205" s="17" t="s">
        <v>796</v>
      </c>
      <c r="F205" s="17">
        <v>194</v>
      </c>
      <c r="G205" s="17">
        <v>7.8</v>
      </c>
      <c r="H205" s="17" t="str">
        <f>INDEX(Employees!$B$2:$B$17,MATCH(B205,Employees!$A$2:$A$17,0))</f>
        <v>Rowan</v>
      </c>
      <c r="I205" s="17" t="str">
        <f>INDEX(Employees!$C$2:$C$17,MATCH(B205,Employees!$A$2:$A$17,0))</f>
        <v>Cycle Counter</v>
      </c>
      <c r="J205" s="25">
        <f t="shared" si="6"/>
        <v>24.871794871794872</v>
      </c>
      <c r="K205" s="19">
        <f>IF(J205=0,0,J205/INDEX('Labor Dashboard'!$C$36:$C$39,MATCH(E205,'Labor Dashboard'!$B$36:$B$39,0)))</f>
        <v>0.99487179487179489</v>
      </c>
      <c r="L205" s="18">
        <f t="shared" si="7"/>
        <v>2</v>
      </c>
      <c r="M205" s="20">
        <f>G205*INDEX(Employees!$E$2:$E$17,MATCH(B205,Employees!$A$2:$A$17,0))</f>
        <v>140.4</v>
      </c>
    </row>
    <row r="206" spans="1:13" ht="18" x14ac:dyDescent="0.2">
      <c r="A206" s="17">
        <v>1092</v>
      </c>
      <c r="B206" s="17">
        <v>30</v>
      </c>
      <c r="C206" s="17" t="s">
        <v>236</v>
      </c>
      <c r="D206" s="17" t="s">
        <v>791</v>
      </c>
      <c r="E206" s="17" t="s">
        <v>792</v>
      </c>
      <c r="F206" s="17">
        <v>374</v>
      </c>
      <c r="G206" s="17">
        <v>7.6</v>
      </c>
      <c r="H206" s="17" t="str">
        <f>INDEX(Employees!$B$2:$B$17,MATCH(B206,Employees!$A$2:$A$17,0))</f>
        <v>Emerson</v>
      </c>
      <c r="I206" s="17" t="str">
        <f>INDEX(Employees!$C$2:$C$17,MATCH(B206,Employees!$A$2:$A$17,0))</f>
        <v>Shift Supervisor</v>
      </c>
      <c r="J206" s="25">
        <f t="shared" si="6"/>
        <v>49.210526315789473</v>
      </c>
      <c r="K206" s="19">
        <f>IF(J206=0,0,J206/INDEX('Labor Dashboard'!$C$36:$C$39,MATCH(E206,'Labor Dashboard'!$B$36:$B$39,0)))</f>
        <v>0.89473684210526316</v>
      </c>
      <c r="L206" s="18">
        <f t="shared" si="7"/>
        <v>2</v>
      </c>
      <c r="M206" s="20">
        <f>G206*INDEX(Employees!$E$2:$E$17,MATCH(B206,Employees!$A$2:$A$17,0))</f>
        <v>182.39999999999998</v>
      </c>
    </row>
    <row r="207" spans="1:13" ht="18" x14ac:dyDescent="0.2">
      <c r="A207" s="17">
        <v>1093</v>
      </c>
      <c r="B207" s="17">
        <v>31</v>
      </c>
      <c r="C207" s="17" t="s">
        <v>236</v>
      </c>
      <c r="D207" s="17" t="s">
        <v>793</v>
      </c>
      <c r="E207" s="17" t="s">
        <v>796</v>
      </c>
      <c r="F207" s="17">
        <v>211</v>
      </c>
      <c r="G207" s="17">
        <v>8.1999999999999993</v>
      </c>
      <c r="H207" s="17" t="str">
        <f>INDEX(Employees!$B$2:$B$17,MATCH(B207,Employees!$A$2:$A$17,0))</f>
        <v>Finley</v>
      </c>
      <c r="I207" s="17" t="str">
        <f>INDEX(Employees!$C$2:$C$17,MATCH(B207,Employees!$A$2:$A$17,0))</f>
        <v>Shift Supervisor</v>
      </c>
      <c r="J207" s="25">
        <f t="shared" si="6"/>
        <v>25.731707317073173</v>
      </c>
      <c r="K207" s="19">
        <f>IF(J207=0,0,J207/INDEX('Labor Dashboard'!$C$36:$C$39,MATCH(E207,'Labor Dashboard'!$B$36:$B$39,0)))</f>
        <v>1.0292682926829269</v>
      </c>
      <c r="L207" s="18">
        <f t="shared" si="7"/>
        <v>2</v>
      </c>
      <c r="M207" s="20">
        <f>G207*INDEX(Employees!$E$2:$E$17,MATCH(B207,Employees!$A$2:$A$17,0))</f>
        <v>196.79999999999998</v>
      </c>
    </row>
    <row r="208" spans="1:13" ht="18" x14ac:dyDescent="0.2">
      <c r="A208" s="17">
        <v>1094</v>
      </c>
      <c r="B208" s="17">
        <v>17</v>
      </c>
      <c r="C208" s="17" t="s">
        <v>175</v>
      </c>
      <c r="D208" s="17" t="s">
        <v>791</v>
      </c>
      <c r="E208" s="17" t="s">
        <v>792</v>
      </c>
      <c r="F208" s="17">
        <v>404</v>
      </c>
      <c r="G208" s="17">
        <v>7.6</v>
      </c>
      <c r="H208" s="17" t="str">
        <f>INDEX(Employees!$B$2:$B$17,MATCH(B208,Employees!$A$2:$A$17,0))</f>
        <v>Jordan</v>
      </c>
      <c r="I208" s="17" t="str">
        <f>INDEX(Employees!$C$2:$C$17,MATCH(B208,Employees!$A$2:$A$17,0))</f>
        <v>Picker</v>
      </c>
      <c r="J208" s="25">
        <f t="shared" si="6"/>
        <v>53.15789473684211</v>
      </c>
      <c r="K208" s="19">
        <f>IF(J208=0,0,J208/INDEX('Labor Dashboard'!$C$36:$C$39,MATCH(E208,'Labor Dashboard'!$B$36:$B$39,0)))</f>
        <v>0.96650717703349287</v>
      </c>
      <c r="L208" s="18">
        <f t="shared" si="7"/>
        <v>3</v>
      </c>
      <c r="M208" s="20">
        <f>G208*INDEX(Employees!$E$2:$E$17,MATCH(B208,Employees!$A$2:$A$17,0))</f>
        <v>129.19999999999999</v>
      </c>
    </row>
    <row r="209" spans="1:13" ht="18" x14ac:dyDescent="0.2">
      <c r="A209" s="17">
        <v>1095</v>
      </c>
      <c r="B209" s="17">
        <v>18</v>
      </c>
      <c r="C209" s="17" t="s">
        <v>175</v>
      </c>
      <c r="D209" s="17" t="s">
        <v>793</v>
      </c>
      <c r="E209" s="17" t="s">
        <v>792</v>
      </c>
      <c r="F209" s="17">
        <v>398</v>
      </c>
      <c r="G209" s="17">
        <v>6.7</v>
      </c>
      <c r="H209" s="17" t="str">
        <f>INDEX(Employees!$B$2:$B$17,MATCH(B209,Employees!$A$2:$A$17,0))</f>
        <v>Casey</v>
      </c>
      <c r="I209" s="17" t="str">
        <f>INDEX(Employees!$C$2:$C$17,MATCH(B209,Employees!$A$2:$A$17,0))</f>
        <v>Picker</v>
      </c>
      <c r="J209" s="25">
        <f t="shared" si="6"/>
        <v>59.402985074626862</v>
      </c>
      <c r="K209" s="19">
        <f>IF(J209=0,0,J209/INDEX('Labor Dashboard'!$C$36:$C$39,MATCH(E209,'Labor Dashboard'!$B$36:$B$39,0)))</f>
        <v>1.0800542740841248</v>
      </c>
      <c r="L209" s="18">
        <f t="shared" si="7"/>
        <v>3</v>
      </c>
      <c r="M209" s="20">
        <f>G209*INDEX(Employees!$E$2:$E$17,MATCH(B209,Employees!$A$2:$A$17,0))</f>
        <v>113.9</v>
      </c>
    </row>
    <row r="210" spans="1:13" ht="18" x14ac:dyDescent="0.2">
      <c r="A210" s="17">
        <v>1096</v>
      </c>
      <c r="B210" s="17">
        <v>19</v>
      </c>
      <c r="C210" s="17" t="s">
        <v>175</v>
      </c>
      <c r="D210" s="17" t="s">
        <v>793</v>
      </c>
      <c r="E210" s="17" t="s">
        <v>792</v>
      </c>
      <c r="F210" s="17">
        <v>395</v>
      </c>
      <c r="G210" s="17">
        <v>7.4</v>
      </c>
      <c r="H210" s="17" t="str">
        <f>INDEX(Employees!$B$2:$B$17,MATCH(B210,Employees!$A$2:$A$17,0))</f>
        <v>Morgan</v>
      </c>
      <c r="I210" s="17" t="str">
        <f>INDEX(Employees!$C$2:$C$17,MATCH(B210,Employees!$A$2:$A$17,0))</f>
        <v>Picker</v>
      </c>
      <c r="J210" s="25">
        <f t="shared" si="6"/>
        <v>53.378378378378379</v>
      </c>
      <c r="K210" s="19">
        <f>IF(J210=0,0,J210/INDEX('Labor Dashboard'!$C$36:$C$39,MATCH(E210,'Labor Dashboard'!$B$36:$B$39,0)))</f>
        <v>0.97051597051597049</v>
      </c>
      <c r="L210" s="18">
        <f t="shared" si="7"/>
        <v>3</v>
      </c>
      <c r="M210" s="20">
        <f>G210*INDEX(Employees!$E$2:$E$17,MATCH(B210,Employees!$A$2:$A$17,0))</f>
        <v>125.80000000000001</v>
      </c>
    </row>
    <row r="211" spans="1:13" ht="18" x14ac:dyDescent="0.2">
      <c r="A211" s="17">
        <v>1097</v>
      </c>
      <c r="B211" s="17">
        <v>21</v>
      </c>
      <c r="C211" s="17" t="s">
        <v>175</v>
      </c>
      <c r="D211" s="17" t="s">
        <v>793</v>
      </c>
      <c r="E211" s="17" t="s">
        <v>794</v>
      </c>
      <c r="F211" s="17">
        <v>307</v>
      </c>
      <c r="G211" s="17">
        <v>8.1</v>
      </c>
      <c r="H211" s="17" t="str">
        <f>INDEX(Employees!$B$2:$B$17,MATCH(B211,Employees!$A$2:$A$17,0))</f>
        <v>Riley</v>
      </c>
      <c r="I211" s="17" t="str">
        <f>INDEX(Employees!$C$2:$C$17,MATCH(B211,Employees!$A$2:$A$17,0))</f>
        <v>Packer</v>
      </c>
      <c r="J211" s="25">
        <f t="shared" si="6"/>
        <v>37.901234567901234</v>
      </c>
      <c r="K211" s="19">
        <f>IF(J211=0,0,J211/INDEX('Labor Dashboard'!$C$36:$C$39,MATCH(E211,'Labor Dashboard'!$B$36:$B$39,0)))</f>
        <v>0.84224965706447186</v>
      </c>
      <c r="L211" s="18">
        <f t="shared" si="7"/>
        <v>3</v>
      </c>
      <c r="M211" s="20">
        <f>G211*INDEX(Employees!$E$2:$E$17,MATCH(B211,Employees!$A$2:$A$17,0))</f>
        <v>137.69999999999999</v>
      </c>
    </row>
    <row r="212" spans="1:13" ht="18" x14ac:dyDescent="0.2">
      <c r="A212" s="17">
        <v>1098</v>
      </c>
      <c r="B212" s="17">
        <v>22</v>
      </c>
      <c r="C212" s="17" t="s">
        <v>175</v>
      </c>
      <c r="D212" s="17" t="s">
        <v>793</v>
      </c>
      <c r="E212" s="17" t="s">
        <v>794</v>
      </c>
      <c r="F212" s="17">
        <v>404</v>
      </c>
      <c r="G212" s="17">
        <v>7.4</v>
      </c>
      <c r="H212" s="17" t="str">
        <f>INDEX(Employees!$B$2:$B$17,MATCH(B212,Employees!$A$2:$A$17,0))</f>
        <v>Avery</v>
      </c>
      <c r="I212" s="17" t="str">
        <f>INDEX(Employees!$C$2:$C$17,MATCH(B212,Employees!$A$2:$A$17,0))</f>
        <v>Packer</v>
      </c>
      <c r="J212" s="25">
        <f t="shared" si="6"/>
        <v>54.594594594594589</v>
      </c>
      <c r="K212" s="19">
        <f>IF(J212=0,0,J212/INDEX('Labor Dashboard'!$C$36:$C$39,MATCH(E212,'Labor Dashboard'!$B$36:$B$39,0)))</f>
        <v>1.2132132132132132</v>
      </c>
      <c r="L212" s="18">
        <f t="shared" si="7"/>
        <v>3</v>
      </c>
      <c r="M212" s="20">
        <f>G212*INDEX(Employees!$E$2:$E$17,MATCH(B212,Employees!$A$2:$A$17,0))</f>
        <v>125.80000000000001</v>
      </c>
    </row>
    <row r="213" spans="1:13" ht="18" x14ac:dyDescent="0.2">
      <c r="A213" s="17">
        <v>1099</v>
      </c>
      <c r="B213" s="17">
        <v>24</v>
      </c>
      <c r="C213" s="17" t="s">
        <v>175</v>
      </c>
      <c r="D213" s="17" t="s">
        <v>793</v>
      </c>
      <c r="E213" s="17" t="s">
        <v>795</v>
      </c>
      <c r="F213" s="17">
        <v>245</v>
      </c>
      <c r="G213" s="17">
        <v>8.1</v>
      </c>
      <c r="H213" s="17" t="str">
        <f>INDEX(Employees!$B$2:$B$17,MATCH(B213,Employees!$A$2:$A$17,0))</f>
        <v>Dakota</v>
      </c>
      <c r="I213" s="17" t="str">
        <f>INDEX(Employees!$C$2:$C$17,MATCH(B213,Employees!$A$2:$A$17,0))</f>
        <v>Forklift Operator</v>
      </c>
      <c r="J213" s="25">
        <f t="shared" si="6"/>
        <v>30.246913580246915</v>
      </c>
      <c r="K213" s="19">
        <f>IF(J213=0,0,J213/INDEX('Labor Dashboard'!$C$36:$C$39,MATCH(E213,'Labor Dashboard'!$B$36:$B$39,0)))</f>
        <v>1.0082304526748971</v>
      </c>
      <c r="L213" s="18">
        <f t="shared" si="7"/>
        <v>3</v>
      </c>
      <c r="M213" s="20">
        <f>G213*INDEX(Employees!$E$2:$E$17,MATCH(B213,Employees!$A$2:$A$17,0))</f>
        <v>157.94999999999999</v>
      </c>
    </row>
    <row r="214" spans="1:13" ht="18" x14ac:dyDescent="0.2">
      <c r="A214" s="17">
        <v>1100</v>
      </c>
      <c r="B214" s="17">
        <v>26</v>
      </c>
      <c r="C214" s="17" t="s">
        <v>175</v>
      </c>
      <c r="D214" s="17" t="s">
        <v>793</v>
      </c>
      <c r="E214" s="17" t="s">
        <v>795</v>
      </c>
      <c r="F214" s="17">
        <v>181</v>
      </c>
      <c r="G214" s="17">
        <v>7.3</v>
      </c>
      <c r="H214" s="17" t="str">
        <f>INDEX(Employees!$B$2:$B$17,MATCH(B214,Employees!$A$2:$A$17,0))</f>
        <v>Reese</v>
      </c>
      <c r="I214" s="17" t="str">
        <f>INDEX(Employees!$C$2:$C$17,MATCH(B214,Employees!$A$2:$A$17,0))</f>
        <v>Receiving Clerk</v>
      </c>
      <c r="J214" s="25">
        <f t="shared" si="6"/>
        <v>24.794520547945208</v>
      </c>
      <c r="K214" s="19">
        <f>IF(J214=0,0,J214/INDEX('Labor Dashboard'!$C$36:$C$39,MATCH(E214,'Labor Dashboard'!$B$36:$B$39,0)))</f>
        <v>0.8264840182648403</v>
      </c>
      <c r="L214" s="18">
        <f t="shared" si="7"/>
        <v>3</v>
      </c>
      <c r="M214" s="20">
        <f>G214*INDEX(Employees!$E$2:$E$17,MATCH(B214,Employees!$A$2:$A$17,0))</f>
        <v>131.4</v>
      </c>
    </row>
    <row r="215" spans="1:13" ht="18" x14ac:dyDescent="0.2">
      <c r="A215" s="17">
        <v>1101</v>
      </c>
      <c r="B215" s="17">
        <v>28</v>
      </c>
      <c r="C215" s="17" t="s">
        <v>175</v>
      </c>
      <c r="D215" s="17" t="s">
        <v>793</v>
      </c>
      <c r="E215" s="17" t="s">
        <v>796</v>
      </c>
      <c r="F215" s="17">
        <v>168</v>
      </c>
      <c r="G215" s="17">
        <v>7.3</v>
      </c>
      <c r="H215" s="17" t="str">
        <f>INDEX(Employees!$B$2:$B$17,MATCH(B215,Employees!$A$2:$A$17,0))</f>
        <v>Peyton</v>
      </c>
      <c r="I215" s="17" t="str">
        <f>INDEX(Employees!$C$2:$C$17,MATCH(B215,Employees!$A$2:$A$17,0))</f>
        <v>Cycle Counter</v>
      </c>
      <c r="J215" s="25">
        <f t="shared" si="6"/>
        <v>23.013698630136986</v>
      </c>
      <c r="K215" s="19">
        <f>IF(J215=0,0,J215/INDEX('Labor Dashboard'!$C$36:$C$39,MATCH(E215,'Labor Dashboard'!$B$36:$B$39,0)))</f>
        <v>0.92054794520547945</v>
      </c>
      <c r="L215" s="18">
        <f t="shared" si="7"/>
        <v>3</v>
      </c>
      <c r="M215" s="20">
        <f>G215*INDEX(Employees!$E$2:$E$17,MATCH(B215,Employees!$A$2:$A$17,0))</f>
        <v>131.4</v>
      </c>
    </row>
    <row r="216" spans="1:13" ht="18" x14ac:dyDescent="0.2">
      <c r="A216" s="17">
        <v>1102</v>
      </c>
      <c r="B216" s="17">
        <v>29</v>
      </c>
      <c r="C216" s="17" t="s">
        <v>175</v>
      </c>
      <c r="D216" s="17" t="s">
        <v>793</v>
      </c>
      <c r="E216" s="17" t="s">
        <v>796</v>
      </c>
      <c r="F216" s="17">
        <v>204</v>
      </c>
      <c r="G216" s="17">
        <v>7.5</v>
      </c>
      <c r="H216" s="17" t="str">
        <f>INDEX(Employees!$B$2:$B$17,MATCH(B216,Employees!$A$2:$A$17,0))</f>
        <v>Rowan</v>
      </c>
      <c r="I216" s="17" t="str">
        <f>INDEX(Employees!$C$2:$C$17,MATCH(B216,Employees!$A$2:$A$17,0))</f>
        <v>Cycle Counter</v>
      </c>
      <c r="J216" s="25">
        <f t="shared" si="6"/>
        <v>27.2</v>
      </c>
      <c r="K216" s="19">
        <f>IF(J216=0,0,J216/INDEX('Labor Dashboard'!$C$36:$C$39,MATCH(E216,'Labor Dashboard'!$B$36:$B$39,0)))</f>
        <v>1.0880000000000001</v>
      </c>
      <c r="L216" s="18">
        <f t="shared" si="7"/>
        <v>3</v>
      </c>
      <c r="M216" s="20">
        <f>G216*INDEX(Employees!$E$2:$E$17,MATCH(B216,Employees!$A$2:$A$17,0))</f>
        <v>135</v>
      </c>
    </row>
    <row r="217" spans="1:13" ht="18" x14ac:dyDescent="0.2">
      <c r="A217" s="17">
        <v>1103</v>
      </c>
      <c r="B217" s="17">
        <v>30</v>
      </c>
      <c r="C217" s="17" t="s">
        <v>175</v>
      </c>
      <c r="D217" s="17" t="s">
        <v>793</v>
      </c>
      <c r="E217" s="17" t="s">
        <v>792</v>
      </c>
      <c r="F217" s="17">
        <v>332</v>
      </c>
      <c r="G217" s="17">
        <v>6.8</v>
      </c>
      <c r="H217" s="17" t="str">
        <f>INDEX(Employees!$B$2:$B$17,MATCH(B217,Employees!$A$2:$A$17,0))</f>
        <v>Emerson</v>
      </c>
      <c r="I217" s="17" t="str">
        <f>INDEX(Employees!$C$2:$C$17,MATCH(B217,Employees!$A$2:$A$17,0))</f>
        <v>Shift Supervisor</v>
      </c>
      <c r="J217" s="25">
        <f t="shared" si="6"/>
        <v>48.82352941176471</v>
      </c>
      <c r="K217" s="19">
        <f>IF(J217=0,0,J217/INDEX('Labor Dashboard'!$C$36:$C$39,MATCH(E217,'Labor Dashboard'!$B$36:$B$39,0)))</f>
        <v>0.8877005347593584</v>
      </c>
      <c r="L217" s="18">
        <f t="shared" si="7"/>
        <v>3</v>
      </c>
      <c r="M217" s="20">
        <f>G217*INDEX(Employees!$E$2:$E$17,MATCH(B217,Employees!$A$2:$A$17,0))</f>
        <v>163.19999999999999</v>
      </c>
    </row>
    <row r="218" spans="1:13" ht="18" x14ac:dyDescent="0.2">
      <c r="A218" s="17">
        <v>1104</v>
      </c>
      <c r="B218" s="17">
        <v>31</v>
      </c>
      <c r="C218" s="17" t="s">
        <v>175</v>
      </c>
      <c r="D218" s="17" t="s">
        <v>793</v>
      </c>
      <c r="E218" s="17" t="s">
        <v>792</v>
      </c>
      <c r="F218" s="17">
        <v>525</v>
      </c>
      <c r="G218" s="17">
        <v>8.1</v>
      </c>
      <c r="H218" s="17" t="str">
        <f>INDEX(Employees!$B$2:$B$17,MATCH(B218,Employees!$A$2:$A$17,0))</f>
        <v>Finley</v>
      </c>
      <c r="I218" s="17" t="str">
        <f>INDEX(Employees!$C$2:$C$17,MATCH(B218,Employees!$A$2:$A$17,0))</f>
        <v>Shift Supervisor</v>
      </c>
      <c r="J218" s="25">
        <f t="shared" si="6"/>
        <v>64.814814814814824</v>
      </c>
      <c r="K218" s="19">
        <f>IF(J218=0,0,J218/INDEX('Labor Dashboard'!$C$36:$C$39,MATCH(E218,'Labor Dashboard'!$B$36:$B$39,0)))</f>
        <v>1.1784511784511786</v>
      </c>
      <c r="L218" s="18">
        <f t="shared" si="7"/>
        <v>3</v>
      </c>
      <c r="M218" s="20">
        <f>G218*INDEX(Employees!$E$2:$E$17,MATCH(B218,Employees!$A$2:$A$17,0))</f>
        <v>194.39999999999998</v>
      </c>
    </row>
    <row r="219" spans="1:13" ht="18" x14ac:dyDescent="0.2">
      <c r="A219" s="17">
        <v>1105</v>
      </c>
      <c r="B219" s="17">
        <v>32</v>
      </c>
      <c r="C219" s="17" t="s">
        <v>175</v>
      </c>
      <c r="D219" s="17" t="s">
        <v>791</v>
      </c>
      <c r="E219" s="17" t="s">
        <v>792</v>
      </c>
      <c r="F219" s="17">
        <v>356</v>
      </c>
      <c r="G219" s="17">
        <v>6.9</v>
      </c>
      <c r="H219" s="17" t="str">
        <f>INDEX(Employees!$B$2:$B$17,MATCH(B219,Employees!$A$2:$A$17,0))</f>
        <v>Sawyer</v>
      </c>
      <c r="I219" s="17" t="str">
        <f>INDEX(Employees!$C$2:$C$17,MATCH(B219,Employees!$A$2:$A$17,0))</f>
        <v>Shift Supervisor</v>
      </c>
      <c r="J219" s="25">
        <f t="shared" si="6"/>
        <v>51.594202898550719</v>
      </c>
      <c r="K219" s="19">
        <f>IF(J219=0,0,J219/INDEX('Labor Dashboard'!$C$36:$C$39,MATCH(E219,'Labor Dashboard'!$B$36:$B$39,0)))</f>
        <v>0.93807641633728578</v>
      </c>
      <c r="L219" s="18">
        <f t="shared" si="7"/>
        <v>3</v>
      </c>
      <c r="M219" s="20">
        <f>G219*INDEX(Employees!$E$2:$E$17,MATCH(B219,Employees!$A$2:$A$17,0))</f>
        <v>165.60000000000002</v>
      </c>
    </row>
    <row r="220" spans="1:13" ht="18" x14ac:dyDescent="0.2">
      <c r="A220" s="17">
        <v>1106</v>
      </c>
      <c r="B220" s="17">
        <v>18</v>
      </c>
      <c r="C220" s="17" t="s">
        <v>273</v>
      </c>
      <c r="D220" s="17" t="s">
        <v>793</v>
      </c>
      <c r="E220" s="17" t="s">
        <v>792</v>
      </c>
      <c r="F220" s="17">
        <v>414</v>
      </c>
      <c r="G220" s="17">
        <v>7.7</v>
      </c>
      <c r="H220" s="17" t="str">
        <f>INDEX(Employees!$B$2:$B$17,MATCH(B220,Employees!$A$2:$A$17,0))</f>
        <v>Casey</v>
      </c>
      <c r="I220" s="17" t="str">
        <f>INDEX(Employees!$C$2:$C$17,MATCH(B220,Employees!$A$2:$A$17,0))</f>
        <v>Picker</v>
      </c>
      <c r="J220" s="25">
        <f t="shared" si="6"/>
        <v>53.766233766233768</v>
      </c>
      <c r="K220" s="19">
        <f>IF(J220=0,0,J220/INDEX('Labor Dashboard'!$C$36:$C$39,MATCH(E220,'Labor Dashboard'!$B$36:$B$39,0)))</f>
        <v>0.97756788665879579</v>
      </c>
      <c r="L220" s="18">
        <f t="shared" si="7"/>
        <v>3</v>
      </c>
      <c r="M220" s="20">
        <f>G220*INDEX(Employees!$E$2:$E$17,MATCH(B220,Employees!$A$2:$A$17,0))</f>
        <v>130.9</v>
      </c>
    </row>
    <row r="221" spans="1:13" ht="18" x14ac:dyDescent="0.2">
      <c r="A221" s="17">
        <v>1107</v>
      </c>
      <c r="B221" s="17">
        <v>19</v>
      </c>
      <c r="C221" s="17" t="s">
        <v>273</v>
      </c>
      <c r="D221" s="17" t="s">
        <v>791</v>
      </c>
      <c r="E221" s="17" t="s">
        <v>792</v>
      </c>
      <c r="F221" s="17">
        <v>382</v>
      </c>
      <c r="G221" s="17">
        <v>7.3</v>
      </c>
      <c r="H221" s="17" t="str">
        <f>INDEX(Employees!$B$2:$B$17,MATCH(B221,Employees!$A$2:$A$17,0))</f>
        <v>Morgan</v>
      </c>
      <c r="I221" s="17" t="str">
        <f>INDEX(Employees!$C$2:$C$17,MATCH(B221,Employees!$A$2:$A$17,0))</f>
        <v>Picker</v>
      </c>
      <c r="J221" s="25">
        <f t="shared" si="6"/>
        <v>52.328767123287669</v>
      </c>
      <c r="K221" s="19">
        <f>IF(J221=0,0,J221/INDEX('Labor Dashboard'!$C$36:$C$39,MATCH(E221,'Labor Dashboard'!$B$36:$B$39,0)))</f>
        <v>0.95143212951432121</v>
      </c>
      <c r="L221" s="18">
        <f t="shared" si="7"/>
        <v>3</v>
      </c>
      <c r="M221" s="20">
        <f>G221*INDEX(Employees!$E$2:$E$17,MATCH(B221,Employees!$A$2:$A$17,0))</f>
        <v>124.1</v>
      </c>
    </row>
    <row r="222" spans="1:13" ht="18" x14ac:dyDescent="0.2">
      <c r="A222" s="17">
        <v>1108</v>
      </c>
      <c r="B222" s="17">
        <v>20</v>
      </c>
      <c r="C222" s="17" t="s">
        <v>273</v>
      </c>
      <c r="D222" s="17" t="s">
        <v>793</v>
      </c>
      <c r="E222" s="17" t="s">
        <v>792</v>
      </c>
      <c r="F222" s="17">
        <v>382</v>
      </c>
      <c r="G222" s="17">
        <v>6.8</v>
      </c>
      <c r="H222" s="17" t="str">
        <f>INDEX(Employees!$B$2:$B$17,MATCH(B222,Employees!$A$2:$A$17,0))</f>
        <v>Taylor</v>
      </c>
      <c r="I222" s="17" t="str">
        <f>INDEX(Employees!$C$2:$C$17,MATCH(B222,Employees!$A$2:$A$17,0))</f>
        <v>Picker</v>
      </c>
      <c r="J222" s="25">
        <f t="shared" si="6"/>
        <v>56.176470588235297</v>
      </c>
      <c r="K222" s="19">
        <f>IF(J222=0,0,J222/INDEX('Labor Dashboard'!$C$36:$C$39,MATCH(E222,'Labor Dashboard'!$B$36:$B$39,0)))</f>
        <v>1.0213903743315509</v>
      </c>
      <c r="L222" s="18">
        <f t="shared" si="7"/>
        <v>3</v>
      </c>
      <c r="M222" s="20">
        <f>G222*INDEX(Employees!$E$2:$E$17,MATCH(B222,Employees!$A$2:$A$17,0))</f>
        <v>115.6</v>
      </c>
    </row>
    <row r="223" spans="1:13" ht="18" x14ac:dyDescent="0.2">
      <c r="A223" s="17">
        <v>1109</v>
      </c>
      <c r="B223" s="17">
        <v>21</v>
      </c>
      <c r="C223" s="17" t="s">
        <v>273</v>
      </c>
      <c r="D223" s="17" t="s">
        <v>791</v>
      </c>
      <c r="E223" s="17" t="s">
        <v>794</v>
      </c>
      <c r="F223" s="17">
        <v>258</v>
      </c>
      <c r="G223" s="17">
        <v>6.8</v>
      </c>
      <c r="H223" s="17" t="str">
        <f>INDEX(Employees!$B$2:$B$17,MATCH(B223,Employees!$A$2:$A$17,0))</f>
        <v>Riley</v>
      </c>
      <c r="I223" s="17" t="str">
        <f>INDEX(Employees!$C$2:$C$17,MATCH(B223,Employees!$A$2:$A$17,0))</f>
        <v>Packer</v>
      </c>
      <c r="J223" s="25">
        <f t="shared" si="6"/>
        <v>37.941176470588239</v>
      </c>
      <c r="K223" s="19">
        <f>IF(J223=0,0,J223/INDEX('Labor Dashboard'!$C$36:$C$39,MATCH(E223,'Labor Dashboard'!$B$36:$B$39,0)))</f>
        <v>0.8431372549019609</v>
      </c>
      <c r="L223" s="18">
        <f t="shared" si="7"/>
        <v>3</v>
      </c>
      <c r="M223" s="20">
        <f>G223*INDEX(Employees!$E$2:$E$17,MATCH(B223,Employees!$A$2:$A$17,0))</f>
        <v>115.6</v>
      </c>
    </row>
    <row r="224" spans="1:13" ht="18" x14ac:dyDescent="0.2">
      <c r="A224" s="17">
        <v>1110</v>
      </c>
      <c r="B224" s="17">
        <v>22</v>
      </c>
      <c r="C224" s="17" t="s">
        <v>273</v>
      </c>
      <c r="D224" s="17" t="s">
        <v>791</v>
      </c>
      <c r="E224" s="17" t="s">
        <v>794</v>
      </c>
      <c r="F224" s="17">
        <v>333</v>
      </c>
      <c r="G224" s="17">
        <v>6.9</v>
      </c>
      <c r="H224" s="17" t="str">
        <f>INDEX(Employees!$B$2:$B$17,MATCH(B224,Employees!$A$2:$A$17,0))</f>
        <v>Avery</v>
      </c>
      <c r="I224" s="17" t="str">
        <f>INDEX(Employees!$C$2:$C$17,MATCH(B224,Employees!$A$2:$A$17,0))</f>
        <v>Packer</v>
      </c>
      <c r="J224" s="25">
        <f t="shared" si="6"/>
        <v>48.260869565217391</v>
      </c>
      <c r="K224" s="19">
        <f>IF(J224=0,0,J224/INDEX('Labor Dashboard'!$C$36:$C$39,MATCH(E224,'Labor Dashboard'!$B$36:$B$39,0)))</f>
        <v>1.0724637681159419</v>
      </c>
      <c r="L224" s="18">
        <f t="shared" si="7"/>
        <v>3</v>
      </c>
      <c r="M224" s="20">
        <f>G224*INDEX(Employees!$E$2:$E$17,MATCH(B224,Employees!$A$2:$A$17,0))</f>
        <v>117.30000000000001</v>
      </c>
    </row>
    <row r="225" spans="1:13" ht="18" x14ac:dyDescent="0.2">
      <c r="A225" s="17">
        <v>1111</v>
      </c>
      <c r="B225" s="17">
        <v>23</v>
      </c>
      <c r="C225" s="17" t="s">
        <v>273</v>
      </c>
      <c r="D225" s="17" t="s">
        <v>793</v>
      </c>
      <c r="E225" s="17" t="s">
        <v>794</v>
      </c>
      <c r="F225" s="17">
        <v>397</v>
      </c>
      <c r="G225" s="17">
        <v>7.3</v>
      </c>
      <c r="H225" s="17" t="str">
        <f>INDEX(Employees!$B$2:$B$17,MATCH(B225,Employees!$A$2:$A$17,0))</f>
        <v>Cameron</v>
      </c>
      <c r="I225" s="17" t="str">
        <f>INDEX(Employees!$C$2:$C$17,MATCH(B225,Employees!$A$2:$A$17,0))</f>
        <v>Packer</v>
      </c>
      <c r="J225" s="25">
        <f t="shared" si="6"/>
        <v>54.38356164383562</v>
      </c>
      <c r="K225" s="19">
        <f>IF(J225=0,0,J225/INDEX('Labor Dashboard'!$C$36:$C$39,MATCH(E225,'Labor Dashboard'!$B$36:$B$39,0)))</f>
        <v>1.208523592085236</v>
      </c>
      <c r="L225" s="18">
        <f t="shared" si="7"/>
        <v>3</v>
      </c>
      <c r="M225" s="20">
        <f>G225*INDEX(Employees!$E$2:$E$17,MATCH(B225,Employees!$A$2:$A$17,0))</f>
        <v>124.1</v>
      </c>
    </row>
    <row r="226" spans="1:13" ht="18" x14ac:dyDescent="0.2">
      <c r="A226" s="17">
        <v>1112</v>
      </c>
      <c r="B226" s="17">
        <v>24</v>
      </c>
      <c r="C226" s="17" t="s">
        <v>273</v>
      </c>
      <c r="D226" s="17" t="s">
        <v>791</v>
      </c>
      <c r="E226" s="17" t="s">
        <v>795</v>
      </c>
      <c r="F226" s="17">
        <v>221</v>
      </c>
      <c r="G226" s="17">
        <v>6.8</v>
      </c>
      <c r="H226" s="17" t="str">
        <f>INDEX(Employees!$B$2:$B$17,MATCH(B226,Employees!$A$2:$A$17,0))</f>
        <v>Dakota</v>
      </c>
      <c r="I226" s="17" t="str">
        <f>INDEX(Employees!$C$2:$C$17,MATCH(B226,Employees!$A$2:$A$17,0))</f>
        <v>Forklift Operator</v>
      </c>
      <c r="J226" s="25">
        <f t="shared" si="6"/>
        <v>32.5</v>
      </c>
      <c r="K226" s="19">
        <f>IF(J226=0,0,J226/INDEX('Labor Dashboard'!$C$36:$C$39,MATCH(E226,'Labor Dashboard'!$B$36:$B$39,0)))</f>
        <v>1.0833333333333333</v>
      </c>
      <c r="L226" s="18">
        <f t="shared" si="7"/>
        <v>3</v>
      </c>
      <c r="M226" s="20">
        <f>G226*INDEX(Employees!$E$2:$E$17,MATCH(B226,Employees!$A$2:$A$17,0))</f>
        <v>132.6</v>
      </c>
    </row>
    <row r="227" spans="1:13" ht="18" x14ac:dyDescent="0.2">
      <c r="A227" s="17">
        <v>1113</v>
      </c>
      <c r="B227" s="17">
        <v>25</v>
      </c>
      <c r="C227" s="17" t="s">
        <v>273</v>
      </c>
      <c r="D227" s="17" t="s">
        <v>793</v>
      </c>
      <c r="E227" s="17" t="s">
        <v>795</v>
      </c>
      <c r="F227" s="17">
        <v>223</v>
      </c>
      <c r="G227" s="17">
        <v>7.1</v>
      </c>
      <c r="H227" s="17" t="str">
        <f>INDEX(Employees!$B$2:$B$17,MATCH(B227,Employees!$A$2:$A$17,0))</f>
        <v>Hayden</v>
      </c>
      <c r="I227" s="17" t="str">
        <f>INDEX(Employees!$C$2:$C$17,MATCH(B227,Employees!$A$2:$A$17,0))</f>
        <v>Forklift Operator</v>
      </c>
      <c r="J227" s="25">
        <f t="shared" si="6"/>
        <v>31.408450704225352</v>
      </c>
      <c r="K227" s="19">
        <f>IF(J227=0,0,J227/INDEX('Labor Dashboard'!$C$36:$C$39,MATCH(E227,'Labor Dashboard'!$B$36:$B$39,0)))</f>
        <v>1.0469483568075117</v>
      </c>
      <c r="L227" s="18">
        <f t="shared" si="7"/>
        <v>3</v>
      </c>
      <c r="M227" s="20">
        <f>G227*INDEX(Employees!$E$2:$E$17,MATCH(B227,Employees!$A$2:$A$17,0))</f>
        <v>138.44999999999999</v>
      </c>
    </row>
    <row r="228" spans="1:13" ht="18" x14ac:dyDescent="0.2">
      <c r="A228" s="17">
        <v>1114</v>
      </c>
      <c r="B228" s="17">
        <v>26</v>
      </c>
      <c r="C228" s="17" t="s">
        <v>273</v>
      </c>
      <c r="D228" s="17" t="s">
        <v>793</v>
      </c>
      <c r="E228" s="17" t="s">
        <v>795</v>
      </c>
      <c r="F228" s="17">
        <v>190</v>
      </c>
      <c r="G228" s="17">
        <v>7.7</v>
      </c>
      <c r="H228" s="17" t="str">
        <f>INDEX(Employees!$B$2:$B$17,MATCH(B228,Employees!$A$2:$A$17,0))</f>
        <v>Reese</v>
      </c>
      <c r="I228" s="17" t="str">
        <f>INDEX(Employees!$C$2:$C$17,MATCH(B228,Employees!$A$2:$A$17,0))</f>
        <v>Receiving Clerk</v>
      </c>
      <c r="J228" s="25">
        <f t="shared" si="6"/>
        <v>24.675324675324674</v>
      </c>
      <c r="K228" s="19">
        <f>IF(J228=0,0,J228/INDEX('Labor Dashboard'!$C$36:$C$39,MATCH(E228,'Labor Dashboard'!$B$36:$B$39,0)))</f>
        <v>0.82251082251082253</v>
      </c>
      <c r="L228" s="18">
        <f t="shared" si="7"/>
        <v>3</v>
      </c>
      <c r="M228" s="20">
        <f>G228*INDEX(Employees!$E$2:$E$17,MATCH(B228,Employees!$A$2:$A$17,0))</f>
        <v>138.6</v>
      </c>
    </row>
    <row r="229" spans="1:13" ht="18" x14ac:dyDescent="0.2">
      <c r="A229" s="17">
        <v>1115</v>
      </c>
      <c r="B229" s="17">
        <v>27</v>
      </c>
      <c r="C229" s="17" t="s">
        <v>273</v>
      </c>
      <c r="D229" s="17" t="s">
        <v>793</v>
      </c>
      <c r="E229" s="17" t="s">
        <v>795</v>
      </c>
      <c r="F229" s="17">
        <v>219</v>
      </c>
      <c r="G229" s="17">
        <v>8.3000000000000007</v>
      </c>
      <c r="H229" s="17" t="str">
        <f>INDEX(Employees!$B$2:$B$17,MATCH(B229,Employees!$A$2:$A$17,0))</f>
        <v>Skyler</v>
      </c>
      <c r="I229" s="17" t="str">
        <f>INDEX(Employees!$C$2:$C$17,MATCH(B229,Employees!$A$2:$A$17,0))</f>
        <v>Receiving Clerk</v>
      </c>
      <c r="J229" s="25">
        <f t="shared" si="6"/>
        <v>26.385542168674696</v>
      </c>
      <c r="K229" s="19">
        <f>IF(J229=0,0,J229/INDEX('Labor Dashboard'!$C$36:$C$39,MATCH(E229,'Labor Dashboard'!$B$36:$B$39,0)))</f>
        <v>0.87951807228915657</v>
      </c>
      <c r="L229" s="18">
        <f t="shared" si="7"/>
        <v>3</v>
      </c>
      <c r="M229" s="20">
        <f>G229*INDEX(Employees!$E$2:$E$17,MATCH(B229,Employees!$A$2:$A$17,0))</f>
        <v>149.4</v>
      </c>
    </row>
    <row r="230" spans="1:13" ht="18" x14ac:dyDescent="0.2">
      <c r="A230" s="17">
        <v>1116</v>
      </c>
      <c r="B230" s="17">
        <v>28</v>
      </c>
      <c r="C230" s="17" t="s">
        <v>273</v>
      </c>
      <c r="D230" s="17" t="s">
        <v>791</v>
      </c>
      <c r="E230" s="17" t="s">
        <v>796</v>
      </c>
      <c r="F230" s="17">
        <v>179</v>
      </c>
      <c r="G230" s="17">
        <v>7.6</v>
      </c>
      <c r="H230" s="17" t="str">
        <f>INDEX(Employees!$B$2:$B$17,MATCH(B230,Employees!$A$2:$A$17,0))</f>
        <v>Peyton</v>
      </c>
      <c r="I230" s="17" t="str">
        <f>INDEX(Employees!$C$2:$C$17,MATCH(B230,Employees!$A$2:$A$17,0))</f>
        <v>Cycle Counter</v>
      </c>
      <c r="J230" s="25">
        <f t="shared" si="6"/>
        <v>23.55263157894737</v>
      </c>
      <c r="K230" s="19">
        <f>IF(J230=0,0,J230/INDEX('Labor Dashboard'!$C$36:$C$39,MATCH(E230,'Labor Dashboard'!$B$36:$B$39,0)))</f>
        <v>0.94210526315789478</v>
      </c>
      <c r="L230" s="18">
        <f t="shared" si="7"/>
        <v>3</v>
      </c>
      <c r="M230" s="20">
        <f>G230*INDEX(Employees!$E$2:$E$17,MATCH(B230,Employees!$A$2:$A$17,0))</f>
        <v>136.79999999999998</v>
      </c>
    </row>
    <row r="231" spans="1:13" ht="18" x14ac:dyDescent="0.2">
      <c r="A231" s="17">
        <v>1117</v>
      </c>
      <c r="B231" s="17">
        <v>30</v>
      </c>
      <c r="C231" s="17" t="s">
        <v>273</v>
      </c>
      <c r="D231" s="17" t="s">
        <v>791</v>
      </c>
      <c r="E231" s="17" t="s">
        <v>795</v>
      </c>
      <c r="F231" s="17">
        <v>180</v>
      </c>
      <c r="G231" s="17">
        <v>7.2</v>
      </c>
      <c r="H231" s="17" t="str">
        <f>INDEX(Employees!$B$2:$B$17,MATCH(B231,Employees!$A$2:$A$17,0))</f>
        <v>Emerson</v>
      </c>
      <c r="I231" s="17" t="str">
        <f>INDEX(Employees!$C$2:$C$17,MATCH(B231,Employees!$A$2:$A$17,0))</f>
        <v>Shift Supervisor</v>
      </c>
      <c r="J231" s="25">
        <f t="shared" si="6"/>
        <v>25</v>
      </c>
      <c r="K231" s="19">
        <f>IF(J231=0,0,J231/INDEX('Labor Dashboard'!$C$36:$C$39,MATCH(E231,'Labor Dashboard'!$B$36:$B$39,0)))</f>
        <v>0.83333333333333337</v>
      </c>
      <c r="L231" s="18">
        <f t="shared" si="7"/>
        <v>3</v>
      </c>
      <c r="M231" s="20">
        <f>G231*INDEX(Employees!$E$2:$E$17,MATCH(B231,Employees!$A$2:$A$17,0))</f>
        <v>172.8</v>
      </c>
    </row>
    <row r="232" spans="1:13" ht="18" x14ac:dyDescent="0.2">
      <c r="A232" s="17">
        <v>1118</v>
      </c>
      <c r="B232" s="17">
        <v>31</v>
      </c>
      <c r="C232" s="17" t="s">
        <v>273</v>
      </c>
      <c r="D232" s="17" t="s">
        <v>793</v>
      </c>
      <c r="E232" s="17" t="s">
        <v>792</v>
      </c>
      <c r="F232" s="17">
        <v>439</v>
      </c>
      <c r="G232" s="17">
        <v>6.9</v>
      </c>
      <c r="H232" s="17" t="str">
        <f>INDEX(Employees!$B$2:$B$17,MATCH(B232,Employees!$A$2:$A$17,0))</f>
        <v>Finley</v>
      </c>
      <c r="I232" s="17" t="str">
        <f>INDEX(Employees!$C$2:$C$17,MATCH(B232,Employees!$A$2:$A$17,0))</f>
        <v>Shift Supervisor</v>
      </c>
      <c r="J232" s="25">
        <f t="shared" si="6"/>
        <v>63.623188405797102</v>
      </c>
      <c r="K232" s="19">
        <f>IF(J232=0,0,J232/INDEX('Labor Dashboard'!$C$36:$C$39,MATCH(E232,'Labor Dashboard'!$B$36:$B$39,0)))</f>
        <v>1.1567852437417654</v>
      </c>
      <c r="L232" s="18">
        <f t="shared" si="7"/>
        <v>3</v>
      </c>
      <c r="M232" s="20">
        <f>G232*INDEX(Employees!$E$2:$E$17,MATCH(B232,Employees!$A$2:$A$17,0))</f>
        <v>165.60000000000002</v>
      </c>
    </row>
    <row r="233" spans="1:13" ht="18" x14ac:dyDescent="0.2">
      <c r="A233" s="17">
        <v>1119</v>
      </c>
      <c r="B233" s="17">
        <v>32</v>
      </c>
      <c r="C233" s="17" t="s">
        <v>273</v>
      </c>
      <c r="D233" s="17" t="s">
        <v>793</v>
      </c>
      <c r="E233" s="17" t="s">
        <v>792</v>
      </c>
      <c r="F233" s="17">
        <v>352</v>
      </c>
      <c r="G233" s="17">
        <v>7</v>
      </c>
      <c r="H233" s="17" t="str">
        <f>INDEX(Employees!$B$2:$B$17,MATCH(B233,Employees!$A$2:$A$17,0))</f>
        <v>Sawyer</v>
      </c>
      <c r="I233" s="17" t="str">
        <f>INDEX(Employees!$C$2:$C$17,MATCH(B233,Employees!$A$2:$A$17,0))</f>
        <v>Shift Supervisor</v>
      </c>
      <c r="J233" s="25">
        <f t="shared" si="6"/>
        <v>50.285714285714285</v>
      </c>
      <c r="K233" s="19">
        <f>IF(J233=0,0,J233/INDEX('Labor Dashboard'!$C$36:$C$39,MATCH(E233,'Labor Dashboard'!$B$36:$B$39,0)))</f>
        <v>0.91428571428571426</v>
      </c>
      <c r="L233" s="18">
        <f t="shared" si="7"/>
        <v>3</v>
      </c>
      <c r="M233" s="20">
        <f>G233*INDEX(Employees!$E$2:$E$17,MATCH(B233,Employees!$A$2:$A$17,0))</f>
        <v>168</v>
      </c>
    </row>
    <row r="234" spans="1:13" ht="18" x14ac:dyDescent="0.2">
      <c r="A234" s="17">
        <v>1120</v>
      </c>
      <c r="B234" s="17">
        <v>17</v>
      </c>
      <c r="C234" s="17" t="s">
        <v>318</v>
      </c>
      <c r="D234" s="17" t="s">
        <v>791</v>
      </c>
      <c r="E234" s="17" t="s">
        <v>792</v>
      </c>
      <c r="F234" s="17">
        <v>292</v>
      </c>
      <c r="G234" s="17">
        <v>6.6</v>
      </c>
      <c r="H234" s="17" t="str">
        <f>INDEX(Employees!$B$2:$B$17,MATCH(B234,Employees!$A$2:$A$17,0))</f>
        <v>Jordan</v>
      </c>
      <c r="I234" s="17" t="str">
        <f>INDEX(Employees!$C$2:$C$17,MATCH(B234,Employees!$A$2:$A$17,0))</f>
        <v>Picker</v>
      </c>
      <c r="J234" s="25">
        <f t="shared" si="6"/>
        <v>44.242424242424242</v>
      </c>
      <c r="K234" s="19">
        <f>IF(J234=0,0,J234/INDEX('Labor Dashboard'!$C$36:$C$39,MATCH(E234,'Labor Dashboard'!$B$36:$B$39,0)))</f>
        <v>0.80440771349862261</v>
      </c>
      <c r="L234" s="18">
        <f t="shared" si="7"/>
        <v>3</v>
      </c>
      <c r="M234" s="20">
        <f>G234*INDEX(Employees!$E$2:$E$17,MATCH(B234,Employees!$A$2:$A$17,0))</f>
        <v>112.19999999999999</v>
      </c>
    </row>
    <row r="235" spans="1:13" ht="18" x14ac:dyDescent="0.2">
      <c r="A235" s="17">
        <v>1121</v>
      </c>
      <c r="B235" s="17">
        <v>18</v>
      </c>
      <c r="C235" s="17" t="s">
        <v>318</v>
      </c>
      <c r="D235" s="17" t="s">
        <v>793</v>
      </c>
      <c r="E235" s="17" t="s">
        <v>792</v>
      </c>
      <c r="F235" s="17">
        <v>384</v>
      </c>
      <c r="G235" s="17">
        <v>6.9</v>
      </c>
      <c r="H235" s="17" t="str">
        <f>INDEX(Employees!$B$2:$B$17,MATCH(B235,Employees!$A$2:$A$17,0))</f>
        <v>Casey</v>
      </c>
      <c r="I235" s="17" t="str">
        <f>INDEX(Employees!$C$2:$C$17,MATCH(B235,Employees!$A$2:$A$17,0))</f>
        <v>Picker</v>
      </c>
      <c r="J235" s="25">
        <f t="shared" si="6"/>
        <v>55.652173913043477</v>
      </c>
      <c r="K235" s="19">
        <f>IF(J235=0,0,J235/INDEX('Labor Dashboard'!$C$36:$C$39,MATCH(E235,'Labor Dashboard'!$B$36:$B$39,0)))</f>
        <v>1.0118577075098814</v>
      </c>
      <c r="L235" s="18">
        <f t="shared" si="7"/>
        <v>3</v>
      </c>
      <c r="M235" s="20">
        <f>G235*INDEX(Employees!$E$2:$E$17,MATCH(B235,Employees!$A$2:$A$17,0))</f>
        <v>117.30000000000001</v>
      </c>
    </row>
    <row r="236" spans="1:13" ht="18" x14ac:dyDescent="0.2">
      <c r="A236" s="17">
        <v>1122</v>
      </c>
      <c r="B236" s="17">
        <v>19</v>
      </c>
      <c r="C236" s="17" t="s">
        <v>318</v>
      </c>
      <c r="D236" s="17" t="s">
        <v>793</v>
      </c>
      <c r="E236" s="17" t="s">
        <v>792</v>
      </c>
      <c r="F236" s="17">
        <v>395</v>
      </c>
      <c r="G236" s="17">
        <v>7.5</v>
      </c>
      <c r="H236" s="17" t="str">
        <f>INDEX(Employees!$B$2:$B$17,MATCH(B236,Employees!$A$2:$A$17,0))</f>
        <v>Morgan</v>
      </c>
      <c r="I236" s="17" t="str">
        <f>INDEX(Employees!$C$2:$C$17,MATCH(B236,Employees!$A$2:$A$17,0))</f>
        <v>Picker</v>
      </c>
      <c r="J236" s="25">
        <f t="shared" si="6"/>
        <v>52.666666666666664</v>
      </c>
      <c r="K236" s="19">
        <f>IF(J236=0,0,J236/INDEX('Labor Dashboard'!$C$36:$C$39,MATCH(E236,'Labor Dashboard'!$B$36:$B$39,0)))</f>
        <v>0.95757575757575752</v>
      </c>
      <c r="L236" s="18">
        <f t="shared" si="7"/>
        <v>3</v>
      </c>
      <c r="M236" s="20">
        <f>G236*INDEX(Employees!$E$2:$E$17,MATCH(B236,Employees!$A$2:$A$17,0))</f>
        <v>127.5</v>
      </c>
    </row>
    <row r="237" spans="1:13" ht="18" x14ac:dyDescent="0.2">
      <c r="A237" s="17">
        <v>1123</v>
      </c>
      <c r="B237" s="17">
        <v>20</v>
      </c>
      <c r="C237" s="17" t="s">
        <v>318</v>
      </c>
      <c r="D237" s="17" t="s">
        <v>793</v>
      </c>
      <c r="E237" s="17" t="s">
        <v>792</v>
      </c>
      <c r="F237" s="17">
        <v>397</v>
      </c>
      <c r="G237" s="17">
        <v>7.4</v>
      </c>
      <c r="H237" s="17" t="str">
        <f>INDEX(Employees!$B$2:$B$17,MATCH(B237,Employees!$A$2:$A$17,0))</f>
        <v>Taylor</v>
      </c>
      <c r="I237" s="17" t="str">
        <f>INDEX(Employees!$C$2:$C$17,MATCH(B237,Employees!$A$2:$A$17,0))</f>
        <v>Picker</v>
      </c>
      <c r="J237" s="25">
        <f t="shared" si="6"/>
        <v>53.648648648648646</v>
      </c>
      <c r="K237" s="19">
        <f>IF(J237=0,0,J237/INDEX('Labor Dashboard'!$C$36:$C$39,MATCH(E237,'Labor Dashboard'!$B$36:$B$39,0)))</f>
        <v>0.97542997542997534</v>
      </c>
      <c r="L237" s="18">
        <f t="shared" si="7"/>
        <v>3</v>
      </c>
      <c r="M237" s="20">
        <f>G237*INDEX(Employees!$E$2:$E$17,MATCH(B237,Employees!$A$2:$A$17,0))</f>
        <v>125.80000000000001</v>
      </c>
    </row>
    <row r="238" spans="1:13" ht="18" x14ac:dyDescent="0.2">
      <c r="A238" s="17">
        <v>1124</v>
      </c>
      <c r="B238" s="17">
        <v>21</v>
      </c>
      <c r="C238" s="17" t="s">
        <v>318</v>
      </c>
      <c r="D238" s="17" t="s">
        <v>793</v>
      </c>
      <c r="E238" s="17" t="s">
        <v>794</v>
      </c>
      <c r="F238" s="17">
        <v>285</v>
      </c>
      <c r="G238" s="17">
        <v>6.9</v>
      </c>
      <c r="H238" s="17" t="str">
        <f>INDEX(Employees!$B$2:$B$17,MATCH(B238,Employees!$A$2:$A$17,0))</f>
        <v>Riley</v>
      </c>
      <c r="I238" s="17" t="str">
        <f>INDEX(Employees!$C$2:$C$17,MATCH(B238,Employees!$A$2:$A$17,0))</f>
        <v>Packer</v>
      </c>
      <c r="J238" s="25">
        <f t="shared" si="6"/>
        <v>41.304347826086953</v>
      </c>
      <c r="K238" s="19">
        <f>IF(J238=0,0,J238/INDEX('Labor Dashboard'!$C$36:$C$39,MATCH(E238,'Labor Dashboard'!$B$36:$B$39,0)))</f>
        <v>0.91787439613526567</v>
      </c>
      <c r="L238" s="18">
        <f t="shared" si="7"/>
        <v>3</v>
      </c>
      <c r="M238" s="20">
        <f>G238*INDEX(Employees!$E$2:$E$17,MATCH(B238,Employees!$A$2:$A$17,0))</f>
        <v>117.30000000000001</v>
      </c>
    </row>
    <row r="239" spans="1:13" ht="18" x14ac:dyDescent="0.2">
      <c r="A239" s="17">
        <v>1125</v>
      </c>
      <c r="B239" s="17">
        <v>22</v>
      </c>
      <c r="C239" s="17" t="s">
        <v>318</v>
      </c>
      <c r="D239" s="17" t="s">
        <v>791</v>
      </c>
      <c r="E239" s="17" t="s">
        <v>794</v>
      </c>
      <c r="F239" s="17">
        <v>353</v>
      </c>
      <c r="G239" s="17">
        <v>6.7</v>
      </c>
      <c r="H239" s="17" t="str">
        <f>INDEX(Employees!$B$2:$B$17,MATCH(B239,Employees!$A$2:$A$17,0))</f>
        <v>Avery</v>
      </c>
      <c r="I239" s="17" t="str">
        <f>INDEX(Employees!$C$2:$C$17,MATCH(B239,Employees!$A$2:$A$17,0))</f>
        <v>Packer</v>
      </c>
      <c r="J239" s="25">
        <f t="shared" si="6"/>
        <v>52.686567164179102</v>
      </c>
      <c r="K239" s="19">
        <f>IF(J239=0,0,J239/INDEX('Labor Dashboard'!$C$36:$C$39,MATCH(E239,'Labor Dashboard'!$B$36:$B$39,0)))</f>
        <v>1.1708126036484245</v>
      </c>
      <c r="L239" s="18">
        <f t="shared" si="7"/>
        <v>3</v>
      </c>
      <c r="M239" s="20">
        <f>G239*INDEX(Employees!$E$2:$E$17,MATCH(B239,Employees!$A$2:$A$17,0))</f>
        <v>113.9</v>
      </c>
    </row>
    <row r="240" spans="1:13" ht="18" x14ac:dyDescent="0.2">
      <c r="A240" s="17">
        <v>1126</v>
      </c>
      <c r="B240" s="17">
        <v>23</v>
      </c>
      <c r="C240" s="17" t="s">
        <v>318</v>
      </c>
      <c r="D240" s="17" t="s">
        <v>793</v>
      </c>
      <c r="E240" s="17" t="s">
        <v>794</v>
      </c>
      <c r="F240" s="17">
        <v>453</v>
      </c>
      <c r="G240" s="17">
        <v>8.3000000000000007</v>
      </c>
      <c r="H240" s="17" t="str">
        <f>INDEX(Employees!$B$2:$B$17,MATCH(B240,Employees!$A$2:$A$17,0))</f>
        <v>Cameron</v>
      </c>
      <c r="I240" s="17" t="str">
        <f>INDEX(Employees!$C$2:$C$17,MATCH(B240,Employees!$A$2:$A$17,0))</f>
        <v>Packer</v>
      </c>
      <c r="J240" s="25">
        <f t="shared" si="6"/>
        <v>54.578313253012041</v>
      </c>
      <c r="K240" s="19">
        <f>IF(J240=0,0,J240/INDEX('Labor Dashboard'!$C$36:$C$39,MATCH(E240,'Labor Dashboard'!$B$36:$B$39,0)))</f>
        <v>1.2128514056224897</v>
      </c>
      <c r="L240" s="18">
        <f t="shared" si="7"/>
        <v>3</v>
      </c>
      <c r="M240" s="20">
        <f>G240*INDEX(Employees!$E$2:$E$17,MATCH(B240,Employees!$A$2:$A$17,0))</f>
        <v>141.10000000000002</v>
      </c>
    </row>
    <row r="241" spans="1:13" ht="18" x14ac:dyDescent="0.2">
      <c r="A241" s="17">
        <v>1127</v>
      </c>
      <c r="B241" s="17">
        <v>24</v>
      </c>
      <c r="C241" s="17" t="s">
        <v>318</v>
      </c>
      <c r="D241" s="17" t="s">
        <v>793</v>
      </c>
      <c r="E241" s="17" t="s">
        <v>795</v>
      </c>
      <c r="F241" s="17">
        <v>198</v>
      </c>
      <c r="G241" s="17">
        <v>7</v>
      </c>
      <c r="H241" s="17" t="str">
        <f>INDEX(Employees!$B$2:$B$17,MATCH(B241,Employees!$A$2:$A$17,0))</f>
        <v>Dakota</v>
      </c>
      <c r="I241" s="17" t="str">
        <f>INDEX(Employees!$C$2:$C$17,MATCH(B241,Employees!$A$2:$A$17,0))</f>
        <v>Forklift Operator</v>
      </c>
      <c r="J241" s="25">
        <f t="shared" si="6"/>
        <v>28.285714285714285</v>
      </c>
      <c r="K241" s="19">
        <f>IF(J241=0,0,J241/INDEX('Labor Dashboard'!$C$36:$C$39,MATCH(E241,'Labor Dashboard'!$B$36:$B$39,0)))</f>
        <v>0.94285714285714284</v>
      </c>
      <c r="L241" s="18">
        <f t="shared" si="7"/>
        <v>3</v>
      </c>
      <c r="M241" s="20">
        <f>G241*INDEX(Employees!$E$2:$E$17,MATCH(B241,Employees!$A$2:$A$17,0))</f>
        <v>136.5</v>
      </c>
    </row>
    <row r="242" spans="1:13" ht="18" x14ac:dyDescent="0.2">
      <c r="A242" s="17">
        <v>1128</v>
      </c>
      <c r="B242" s="17">
        <v>25</v>
      </c>
      <c r="C242" s="17" t="s">
        <v>318</v>
      </c>
      <c r="D242" s="17" t="s">
        <v>791</v>
      </c>
      <c r="E242" s="17" t="s">
        <v>795</v>
      </c>
      <c r="F242" s="17">
        <v>216</v>
      </c>
      <c r="G242" s="17">
        <v>7</v>
      </c>
      <c r="H242" s="17" t="str">
        <f>INDEX(Employees!$B$2:$B$17,MATCH(B242,Employees!$A$2:$A$17,0))</f>
        <v>Hayden</v>
      </c>
      <c r="I242" s="17" t="str">
        <f>INDEX(Employees!$C$2:$C$17,MATCH(B242,Employees!$A$2:$A$17,0))</f>
        <v>Forklift Operator</v>
      </c>
      <c r="J242" s="25">
        <f t="shared" si="6"/>
        <v>30.857142857142858</v>
      </c>
      <c r="K242" s="19">
        <f>IF(J242=0,0,J242/INDEX('Labor Dashboard'!$C$36:$C$39,MATCH(E242,'Labor Dashboard'!$B$36:$B$39,0)))</f>
        <v>1.0285714285714287</v>
      </c>
      <c r="L242" s="18">
        <f t="shared" si="7"/>
        <v>3</v>
      </c>
      <c r="M242" s="20">
        <f>G242*INDEX(Employees!$E$2:$E$17,MATCH(B242,Employees!$A$2:$A$17,0))</f>
        <v>136.5</v>
      </c>
    </row>
    <row r="243" spans="1:13" ht="18" x14ac:dyDescent="0.2">
      <c r="A243" s="17">
        <v>1129</v>
      </c>
      <c r="B243" s="17">
        <v>26</v>
      </c>
      <c r="C243" s="17" t="s">
        <v>318</v>
      </c>
      <c r="D243" s="17" t="s">
        <v>791</v>
      </c>
      <c r="E243" s="17" t="s">
        <v>795</v>
      </c>
      <c r="F243" s="17">
        <v>219</v>
      </c>
      <c r="G243" s="17">
        <v>8</v>
      </c>
      <c r="H243" s="17" t="str">
        <f>INDEX(Employees!$B$2:$B$17,MATCH(B243,Employees!$A$2:$A$17,0))</f>
        <v>Reese</v>
      </c>
      <c r="I243" s="17" t="str">
        <f>INDEX(Employees!$C$2:$C$17,MATCH(B243,Employees!$A$2:$A$17,0))</f>
        <v>Receiving Clerk</v>
      </c>
      <c r="J243" s="25">
        <f t="shared" si="6"/>
        <v>27.375</v>
      </c>
      <c r="K243" s="19">
        <f>IF(J243=0,0,J243/INDEX('Labor Dashboard'!$C$36:$C$39,MATCH(E243,'Labor Dashboard'!$B$36:$B$39,0)))</f>
        <v>0.91249999999999998</v>
      </c>
      <c r="L243" s="18">
        <f t="shared" si="7"/>
        <v>3</v>
      </c>
      <c r="M243" s="20">
        <f>G243*INDEX(Employees!$E$2:$E$17,MATCH(B243,Employees!$A$2:$A$17,0))</f>
        <v>144</v>
      </c>
    </row>
    <row r="244" spans="1:13" ht="18" x14ac:dyDescent="0.2">
      <c r="A244" s="17">
        <v>1130</v>
      </c>
      <c r="B244" s="17">
        <v>27</v>
      </c>
      <c r="C244" s="17" t="s">
        <v>318</v>
      </c>
      <c r="D244" s="17" t="s">
        <v>791</v>
      </c>
      <c r="E244" s="17" t="s">
        <v>795</v>
      </c>
      <c r="F244" s="17">
        <v>191</v>
      </c>
      <c r="G244" s="17">
        <v>7.1</v>
      </c>
      <c r="H244" s="17" t="str">
        <f>INDEX(Employees!$B$2:$B$17,MATCH(B244,Employees!$A$2:$A$17,0))</f>
        <v>Skyler</v>
      </c>
      <c r="I244" s="17" t="str">
        <f>INDEX(Employees!$C$2:$C$17,MATCH(B244,Employees!$A$2:$A$17,0))</f>
        <v>Receiving Clerk</v>
      </c>
      <c r="J244" s="25">
        <f t="shared" si="6"/>
        <v>26.901408450704228</v>
      </c>
      <c r="K244" s="19">
        <f>IF(J244=0,0,J244/INDEX('Labor Dashboard'!$C$36:$C$39,MATCH(E244,'Labor Dashboard'!$B$36:$B$39,0)))</f>
        <v>0.89671361502347424</v>
      </c>
      <c r="L244" s="18">
        <f t="shared" si="7"/>
        <v>3</v>
      </c>
      <c r="M244" s="20">
        <f>G244*INDEX(Employees!$E$2:$E$17,MATCH(B244,Employees!$A$2:$A$17,0))</f>
        <v>127.8</v>
      </c>
    </row>
    <row r="245" spans="1:13" ht="18" x14ac:dyDescent="0.2">
      <c r="A245" s="17">
        <v>1131</v>
      </c>
      <c r="B245" s="17">
        <v>28</v>
      </c>
      <c r="C245" s="17" t="s">
        <v>318</v>
      </c>
      <c r="D245" s="17" t="s">
        <v>791</v>
      </c>
      <c r="E245" s="17" t="s">
        <v>796</v>
      </c>
      <c r="F245" s="17">
        <v>193</v>
      </c>
      <c r="G245" s="17">
        <v>7.9</v>
      </c>
      <c r="H245" s="17" t="str">
        <f>INDEX(Employees!$B$2:$B$17,MATCH(B245,Employees!$A$2:$A$17,0))</f>
        <v>Peyton</v>
      </c>
      <c r="I245" s="17" t="str">
        <f>INDEX(Employees!$C$2:$C$17,MATCH(B245,Employees!$A$2:$A$17,0))</f>
        <v>Cycle Counter</v>
      </c>
      <c r="J245" s="25">
        <f t="shared" si="6"/>
        <v>24.430379746835442</v>
      </c>
      <c r="K245" s="19">
        <f>IF(J245=0,0,J245/INDEX('Labor Dashboard'!$C$36:$C$39,MATCH(E245,'Labor Dashboard'!$B$36:$B$39,0)))</f>
        <v>0.97721518987341771</v>
      </c>
      <c r="L245" s="18">
        <f t="shared" si="7"/>
        <v>3</v>
      </c>
      <c r="M245" s="20">
        <f>G245*INDEX(Employees!$E$2:$E$17,MATCH(B245,Employees!$A$2:$A$17,0))</f>
        <v>142.20000000000002</v>
      </c>
    </row>
    <row r="246" spans="1:13" ht="18" x14ac:dyDescent="0.2">
      <c r="A246" s="17">
        <v>1132</v>
      </c>
      <c r="B246" s="17">
        <v>30</v>
      </c>
      <c r="C246" s="17" t="s">
        <v>318</v>
      </c>
      <c r="D246" s="17" t="s">
        <v>791</v>
      </c>
      <c r="E246" s="17" t="s">
        <v>796</v>
      </c>
      <c r="F246" s="17">
        <v>149</v>
      </c>
      <c r="G246" s="17">
        <v>6.6</v>
      </c>
      <c r="H246" s="17" t="str">
        <f>INDEX(Employees!$B$2:$B$17,MATCH(B246,Employees!$A$2:$A$17,0))</f>
        <v>Emerson</v>
      </c>
      <c r="I246" s="17" t="str">
        <f>INDEX(Employees!$C$2:$C$17,MATCH(B246,Employees!$A$2:$A$17,0))</f>
        <v>Shift Supervisor</v>
      </c>
      <c r="J246" s="25">
        <f t="shared" si="6"/>
        <v>22.575757575757578</v>
      </c>
      <c r="K246" s="19">
        <f>IF(J246=0,0,J246/INDEX('Labor Dashboard'!$C$36:$C$39,MATCH(E246,'Labor Dashboard'!$B$36:$B$39,0)))</f>
        <v>0.90303030303030307</v>
      </c>
      <c r="L246" s="18">
        <f t="shared" si="7"/>
        <v>3</v>
      </c>
      <c r="M246" s="20">
        <f>G246*INDEX(Employees!$E$2:$E$17,MATCH(B246,Employees!$A$2:$A$17,0))</f>
        <v>158.39999999999998</v>
      </c>
    </row>
    <row r="247" spans="1:13" ht="18" x14ac:dyDescent="0.2">
      <c r="A247" s="17">
        <v>1133</v>
      </c>
      <c r="B247" s="17">
        <v>31</v>
      </c>
      <c r="C247" s="17" t="s">
        <v>318</v>
      </c>
      <c r="D247" s="17" t="s">
        <v>793</v>
      </c>
      <c r="E247" s="17" t="s">
        <v>794</v>
      </c>
      <c r="F247" s="17">
        <v>341</v>
      </c>
      <c r="G247" s="17">
        <v>7.4</v>
      </c>
      <c r="H247" s="17" t="str">
        <f>INDEX(Employees!$B$2:$B$17,MATCH(B247,Employees!$A$2:$A$17,0))</f>
        <v>Finley</v>
      </c>
      <c r="I247" s="17" t="str">
        <f>INDEX(Employees!$C$2:$C$17,MATCH(B247,Employees!$A$2:$A$17,0))</f>
        <v>Shift Supervisor</v>
      </c>
      <c r="J247" s="25">
        <f t="shared" si="6"/>
        <v>46.081081081081081</v>
      </c>
      <c r="K247" s="19">
        <f>IF(J247=0,0,J247/INDEX('Labor Dashboard'!$C$36:$C$39,MATCH(E247,'Labor Dashboard'!$B$36:$B$39,0)))</f>
        <v>1.0240240240240239</v>
      </c>
      <c r="L247" s="18">
        <f t="shared" si="7"/>
        <v>3</v>
      </c>
      <c r="M247" s="20">
        <f>G247*INDEX(Employees!$E$2:$E$17,MATCH(B247,Employees!$A$2:$A$17,0))</f>
        <v>177.60000000000002</v>
      </c>
    </row>
    <row r="248" spans="1:13" ht="18" x14ac:dyDescent="0.2">
      <c r="A248" s="17">
        <v>1134</v>
      </c>
      <c r="B248" s="17">
        <v>32</v>
      </c>
      <c r="C248" s="17" t="s">
        <v>318</v>
      </c>
      <c r="D248" s="17" t="s">
        <v>791</v>
      </c>
      <c r="E248" s="17" t="s">
        <v>794</v>
      </c>
      <c r="F248" s="17">
        <v>302</v>
      </c>
      <c r="G248" s="17">
        <v>6.8</v>
      </c>
      <c r="H248" s="17" t="str">
        <f>INDEX(Employees!$B$2:$B$17,MATCH(B248,Employees!$A$2:$A$17,0))</f>
        <v>Sawyer</v>
      </c>
      <c r="I248" s="17" t="str">
        <f>INDEX(Employees!$C$2:$C$17,MATCH(B248,Employees!$A$2:$A$17,0))</f>
        <v>Shift Supervisor</v>
      </c>
      <c r="J248" s="25">
        <f t="shared" si="6"/>
        <v>44.411764705882355</v>
      </c>
      <c r="K248" s="19">
        <f>IF(J248=0,0,J248/INDEX('Labor Dashboard'!$C$36:$C$39,MATCH(E248,'Labor Dashboard'!$B$36:$B$39,0)))</f>
        <v>0.98692810457516345</v>
      </c>
      <c r="L248" s="18">
        <f t="shared" si="7"/>
        <v>3</v>
      </c>
      <c r="M248" s="20">
        <f>G248*INDEX(Employees!$E$2:$E$17,MATCH(B248,Employees!$A$2:$A$17,0))</f>
        <v>163.19999999999999</v>
      </c>
    </row>
    <row r="249" spans="1:13" ht="18" x14ac:dyDescent="0.2">
      <c r="A249" s="17">
        <v>1135</v>
      </c>
      <c r="B249" s="17">
        <v>17</v>
      </c>
      <c r="C249" s="17" t="s">
        <v>321</v>
      </c>
      <c r="D249" s="17" t="s">
        <v>791</v>
      </c>
      <c r="E249" s="17" t="s">
        <v>792</v>
      </c>
      <c r="F249" s="17">
        <v>396</v>
      </c>
      <c r="G249" s="17">
        <v>8.1999999999999993</v>
      </c>
      <c r="H249" s="17" t="str">
        <f>INDEX(Employees!$B$2:$B$17,MATCH(B249,Employees!$A$2:$A$17,0))</f>
        <v>Jordan</v>
      </c>
      <c r="I249" s="17" t="str">
        <f>INDEX(Employees!$C$2:$C$17,MATCH(B249,Employees!$A$2:$A$17,0))</f>
        <v>Picker</v>
      </c>
      <c r="J249" s="25">
        <f t="shared" si="6"/>
        <v>48.292682926829272</v>
      </c>
      <c r="K249" s="19">
        <f>IF(J249=0,0,J249/INDEX('Labor Dashboard'!$C$36:$C$39,MATCH(E249,'Labor Dashboard'!$B$36:$B$39,0)))</f>
        <v>0.87804878048780499</v>
      </c>
      <c r="L249" s="18">
        <f t="shared" si="7"/>
        <v>3</v>
      </c>
      <c r="M249" s="20">
        <f>G249*INDEX(Employees!$E$2:$E$17,MATCH(B249,Employees!$A$2:$A$17,0))</f>
        <v>139.39999999999998</v>
      </c>
    </row>
    <row r="250" spans="1:13" ht="18" x14ac:dyDescent="0.2">
      <c r="A250" s="17">
        <v>1136</v>
      </c>
      <c r="B250" s="17">
        <v>18</v>
      </c>
      <c r="C250" s="17" t="s">
        <v>321</v>
      </c>
      <c r="D250" s="17" t="s">
        <v>791</v>
      </c>
      <c r="E250" s="17" t="s">
        <v>792</v>
      </c>
      <c r="F250" s="17">
        <v>457</v>
      </c>
      <c r="G250" s="17">
        <v>7.3</v>
      </c>
      <c r="H250" s="17" t="str">
        <f>INDEX(Employees!$B$2:$B$17,MATCH(B250,Employees!$A$2:$A$17,0))</f>
        <v>Casey</v>
      </c>
      <c r="I250" s="17" t="str">
        <f>INDEX(Employees!$C$2:$C$17,MATCH(B250,Employees!$A$2:$A$17,0))</f>
        <v>Picker</v>
      </c>
      <c r="J250" s="25">
        <f t="shared" si="6"/>
        <v>62.602739726027401</v>
      </c>
      <c r="K250" s="19">
        <f>IF(J250=0,0,J250/INDEX('Labor Dashboard'!$C$36:$C$39,MATCH(E250,'Labor Dashboard'!$B$36:$B$39,0)))</f>
        <v>1.1382316313823164</v>
      </c>
      <c r="L250" s="18">
        <f t="shared" si="7"/>
        <v>3</v>
      </c>
      <c r="M250" s="20">
        <f>G250*INDEX(Employees!$E$2:$E$17,MATCH(B250,Employees!$A$2:$A$17,0))</f>
        <v>124.1</v>
      </c>
    </row>
    <row r="251" spans="1:13" ht="18" x14ac:dyDescent="0.2">
      <c r="A251" s="17">
        <v>1137</v>
      </c>
      <c r="B251" s="17">
        <v>19</v>
      </c>
      <c r="C251" s="17" t="s">
        <v>321</v>
      </c>
      <c r="D251" s="17" t="s">
        <v>793</v>
      </c>
      <c r="E251" s="17" t="s">
        <v>792</v>
      </c>
      <c r="F251" s="17">
        <v>393</v>
      </c>
      <c r="G251" s="17">
        <v>7.2</v>
      </c>
      <c r="H251" s="17" t="str">
        <f>INDEX(Employees!$B$2:$B$17,MATCH(B251,Employees!$A$2:$A$17,0))</f>
        <v>Morgan</v>
      </c>
      <c r="I251" s="17" t="str">
        <f>INDEX(Employees!$C$2:$C$17,MATCH(B251,Employees!$A$2:$A$17,0))</f>
        <v>Picker</v>
      </c>
      <c r="J251" s="25">
        <f t="shared" si="6"/>
        <v>54.583333333333329</v>
      </c>
      <c r="K251" s="19">
        <f>IF(J251=0,0,J251/INDEX('Labor Dashboard'!$C$36:$C$39,MATCH(E251,'Labor Dashboard'!$B$36:$B$39,0)))</f>
        <v>0.99242424242424232</v>
      </c>
      <c r="L251" s="18">
        <f t="shared" si="7"/>
        <v>3</v>
      </c>
      <c r="M251" s="20">
        <f>G251*INDEX(Employees!$E$2:$E$17,MATCH(B251,Employees!$A$2:$A$17,0))</f>
        <v>122.4</v>
      </c>
    </row>
    <row r="252" spans="1:13" ht="18" x14ac:dyDescent="0.2">
      <c r="A252" s="17">
        <v>1138</v>
      </c>
      <c r="B252" s="17">
        <v>20</v>
      </c>
      <c r="C252" s="17" t="s">
        <v>321</v>
      </c>
      <c r="D252" s="17" t="s">
        <v>793</v>
      </c>
      <c r="E252" s="17" t="s">
        <v>792</v>
      </c>
      <c r="F252" s="17">
        <v>332</v>
      </c>
      <c r="G252" s="17">
        <v>6.7</v>
      </c>
      <c r="H252" s="17" t="str">
        <f>INDEX(Employees!$B$2:$B$17,MATCH(B252,Employees!$A$2:$A$17,0))</f>
        <v>Taylor</v>
      </c>
      <c r="I252" s="17" t="str">
        <f>INDEX(Employees!$C$2:$C$17,MATCH(B252,Employees!$A$2:$A$17,0))</f>
        <v>Picker</v>
      </c>
      <c r="J252" s="25">
        <f t="shared" si="6"/>
        <v>49.552238805970148</v>
      </c>
      <c r="K252" s="19">
        <f>IF(J252=0,0,J252/INDEX('Labor Dashboard'!$C$36:$C$39,MATCH(E252,'Labor Dashboard'!$B$36:$B$39,0)))</f>
        <v>0.90094979647218454</v>
      </c>
      <c r="L252" s="18">
        <f t="shared" si="7"/>
        <v>3</v>
      </c>
      <c r="M252" s="20">
        <f>G252*INDEX(Employees!$E$2:$E$17,MATCH(B252,Employees!$A$2:$A$17,0))</f>
        <v>113.9</v>
      </c>
    </row>
    <row r="253" spans="1:13" ht="18" x14ac:dyDescent="0.2">
      <c r="A253" s="17">
        <v>1139</v>
      </c>
      <c r="B253" s="17">
        <v>21</v>
      </c>
      <c r="C253" s="17" t="s">
        <v>321</v>
      </c>
      <c r="D253" s="17" t="s">
        <v>791</v>
      </c>
      <c r="E253" s="17" t="s">
        <v>794</v>
      </c>
      <c r="F253" s="17">
        <v>278</v>
      </c>
      <c r="G253" s="17">
        <v>6.5</v>
      </c>
      <c r="H253" s="17" t="str">
        <f>INDEX(Employees!$B$2:$B$17,MATCH(B253,Employees!$A$2:$A$17,0))</f>
        <v>Riley</v>
      </c>
      <c r="I253" s="17" t="str">
        <f>INDEX(Employees!$C$2:$C$17,MATCH(B253,Employees!$A$2:$A$17,0))</f>
        <v>Packer</v>
      </c>
      <c r="J253" s="25">
        <f t="shared" si="6"/>
        <v>42.769230769230766</v>
      </c>
      <c r="K253" s="19">
        <f>IF(J253=0,0,J253/INDEX('Labor Dashboard'!$C$36:$C$39,MATCH(E253,'Labor Dashboard'!$B$36:$B$39,0)))</f>
        <v>0.95042735042735038</v>
      </c>
      <c r="L253" s="18">
        <f t="shared" si="7"/>
        <v>3</v>
      </c>
      <c r="M253" s="20">
        <f>G253*INDEX(Employees!$E$2:$E$17,MATCH(B253,Employees!$A$2:$A$17,0))</f>
        <v>110.5</v>
      </c>
    </row>
    <row r="254" spans="1:13" ht="18" x14ac:dyDescent="0.2">
      <c r="A254" s="17">
        <v>1140</v>
      </c>
      <c r="B254" s="17">
        <v>22</v>
      </c>
      <c r="C254" s="17" t="s">
        <v>321</v>
      </c>
      <c r="D254" s="17" t="s">
        <v>793</v>
      </c>
      <c r="E254" s="17" t="s">
        <v>794</v>
      </c>
      <c r="F254" s="17">
        <v>361</v>
      </c>
      <c r="G254" s="17">
        <v>7.2</v>
      </c>
      <c r="H254" s="17" t="str">
        <f>INDEX(Employees!$B$2:$B$17,MATCH(B254,Employees!$A$2:$A$17,0))</f>
        <v>Avery</v>
      </c>
      <c r="I254" s="17" t="str">
        <f>INDEX(Employees!$C$2:$C$17,MATCH(B254,Employees!$A$2:$A$17,0))</f>
        <v>Packer</v>
      </c>
      <c r="J254" s="25">
        <f t="shared" si="6"/>
        <v>50.138888888888886</v>
      </c>
      <c r="K254" s="19">
        <f>IF(J254=0,0,J254/INDEX('Labor Dashboard'!$C$36:$C$39,MATCH(E254,'Labor Dashboard'!$B$36:$B$39,0)))</f>
        <v>1.1141975308641974</v>
      </c>
      <c r="L254" s="18">
        <f t="shared" si="7"/>
        <v>3</v>
      </c>
      <c r="M254" s="20">
        <f>G254*INDEX(Employees!$E$2:$E$17,MATCH(B254,Employees!$A$2:$A$17,0))</f>
        <v>122.4</v>
      </c>
    </row>
    <row r="255" spans="1:13" ht="18" x14ac:dyDescent="0.2">
      <c r="A255" s="17">
        <v>1141</v>
      </c>
      <c r="B255" s="17">
        <v>24</v>
      </c>
      <c r="C255" s="17" t="s">
        <v>321</v>
      </c>
      <c r="D255" s="17" t="s">
        <v>791</v>
      </c>
      <c r="E255" s="17" t="s">
        <v>792</v>
      </c>
      <c r="F255" s="17">
        <v>384</v>
      </c>
      <c r="G255" s="17">
        <v>7.1</v>
      </c>
      <c r="H255" s="17" t="str">
        <f>INDEX(Employees!$B$2:$B$17,MATCH(B255,Employees!$A$2:$A$17,0))</f>
        <v>Dakota</v>
      </c>
      <c r="I255" s="17" t="str">
        <f>INDEX(Employees!$C$2:$C$17,MATCH(B255,Employees!$A$2:$A$17,0))</f>
        <v>Forklift Operator</v>
      </c>
      <c r="J255" s="25">
        <f t="shared" si="6"/>
        <v>54.084507042253527</v>
      </c>
      <c r="K255" s="19">
        <f>IF(J255=0,0,J255/INDEX('Labor Dashboard'!$C$36:$C$39,MATCH(E255,'Labor Dashboard'!$B$36:$B$39,0)))</f>
        <v>0.98335467349551864</v>
      </c>
      <c r="L255" s="18">
        <f t="shared" si="7"/>
        <v>3</v>
      </c>
      <c r="M255" s="20">
        <f>G255*INDEX(Employees!$E$2:$E$17,MATCH(B255,Employees!$A$2:$A$17,0))</f>
        <v>138.44999999999999</v>
      </c>
    </row>
    <row r="256" spans="1:13" ht="18" x14ac:dyDescent="0.2">
      <c r="A256" s="17">
        <v>1142</v>
      </c>
      <c r="B256" s="17">
        <v>25</v>
      </c>
      <c r="C256" s="17" t="s">
        <v>321</v>
      </c>
      <c r="D256" s="17" t="s">
        <v>793</v>
      </c>
      <c r="E256" s="17" t="s">
        <v>795</v>
      </c>
      <c r="F256" s="17">
        <v>240</v>
      </c>
      <c r="G256" s="17">
        <v>7.7</v>
      </c>
      <c r="H256" s="17" t="str">
        <f>INDEX(Employees!$B$2:$B$17,MATCH(B256,Employees!$A$2:$A$17,0))</f>
        <v>Hayden</v>
      </c>
      <c r="I256" s="17" t="str">
        <f>INDEX(Employees!$C$2:$C$17,MATCH(B256,Employees!$A$2:$A$17,0))</f>
        <v>Forklift Operator</v>
      </c>
      <c r="J256" s="25">
        <f t="shared" si="6"/>
        <v>31.168831168831169</v>
      </c>
      <c r="K256" s="19">
        <f>IF(J256=0,0,J256/INDEX('Labor Dashboard'!$C$36:$C$39,MATCH(E256,'Labor Dashboard'!$B$36:$B$39,0)))</f>
        <v>1.0389610389610389</v>
      </c>
      <c r="L256" s="18">
        <f t="shared" si="7"/>
        <v>3</v>
      </c>
      <c r="M256" s="20">
        <f>G256*INDEX(Employees!$E$2:$E$17,MATCH(B256,Employees!$A$2:$A$17,0))</f>
        <v>150.15</v>
      </c>
    </row>
    <row r="257" spans="1:13" ht="18" x14ac:dyDescent="0.2">
      <c r="A257" s="17">
        <v>1143</v>
      </c>
      <c r="B257" s="17">
        <v>27</v>
      </c>
      <c r="C257" s="17" t="s">
        <v>321</v>
      </c>
      <c r="D257" s="17" t="s">
        <v>793</v>
      </c>
      <c r="E257" s="17" t="s">
        <v>795</v>
      </c>
      <c r="F257" s="17">
        <v>182</v>
      </c>
      <c r="G257" s="17">
        <v>7.7</v>
      </c>
      <c r="H257" s="17" t="str">
        <f>INDEX(Employees!$B$2:$B$17,MATCH(B257,Employees!$A$2:$A$17,0))</f>
        <v>Skyler</v>
      </c>
      <c r="I257" s="17" t="str">
        <f>INDEX(Employees!$C$2:$C$17,MATCH(B257,Employees!$A$2:$A$17,0))</f>
        <v>Receiving Clerk</v>
      </c>
      <c r="J257" s="25">
        <f t="shared" si="6"/>
        <v>23.636363636363637</v>
      </c>
      <c r="K257" s="19">
        <f>IF(J257=0,0,J257/INDEX('Labor Dashboard'!$C$36:$C$39,MATCH(E257,'Labor Dashboard'!$B$36:$B$39,0)))</f>
        <v>0.78787878787878785</v>
      </c>
      <c r="L257" s="18">
        <f t="shared" si="7"/>
        <v>3</v>
      </c>
      <c r="M257" s="20">
        <f>G257*INDEX(Employees!$E$2:$E$17,MATCH(B257,Employees!$A$2:$A$17,0))</f>
        <v>138.6</v>
      </c>
    </row>
    <row r="258" spans="1:13" ht="18" x14ac:dyDescent="0.2">
      <c r="A258" s="17">
        <v>1144</v>
      </c>
      <c r="B258" s="17">
        <v>29</v>
      </c>
      <c r="C258" s="17" t="s">
        <v>321</v>
      </c>
      <c r="D258" s="17" t="s">
        <v>793</v>
      </c>
      <c r="E258" s="17" t="s">
        <v>796</v>
      </c>
      <c r="F258" s="17">
        <v>200</v>
      </c>
      <c r="G258" s="17">
        <v>7.9</v>
      </c>
      <c r="H258" s="17" t="str">
        <f>INDEX(Employees!$B$2:$B$17,MATCH(B258,Employees!$A$2:$A$17,0))</f>
        <v>Rowan</v>
      </c>
      <c r="I258" s="17" t="str">
        <f>INDEX(Employees!$C$2:$C$17,MATCH(B258,Employees!$A$2:$A$17,0))</f>
        <v>Cycle Counter</v>
      </c>
      <c r="J258" s="25">
        <f t="shared" ref="J258:J321" si="8">IF(G258=0,0,F258/G258)</f>
        <v>25.316455696202532</v>
      </c>
      <c r="K258" s="19">
        <f>IF(J258=0,0,J258/INDEX('Labor Dashboard'!$C$36:$C$39,MATCH(E258,'Labor Dashboard'!$B$36:$B$39,0)))</f>
        <v>1.0126582278481013</v>
      </c>
      <c r="L258" s="18">
        <f t="shared" ref="L258:L321" si="9">INT((DATEVALUE(C258)-DATE(2026,4,6))/7)</f>
        <v>3</v>
      </c>
      <c r="M258" s="20">
        <f>G258*INDEX(Employees!$E$2:$E$17,MATCH(B258,Employees!$A$2:$A$17,0))</f>
        <v>142.20000000000002</v>
      </c>
    </row>
    <row r="259" spans="1:13" ht="18" x14ac:dyDescent="0.2">
      <c r="A259" s="17">
        <v>1145</v>
      </c>
      <c r="B259" s="17">
        <v>30</v>
      </c>
      <c r="C259" s="17" t="s">
        <v>321</v>
      </c>
      <c r="D259" s="17" t="s">
        <v>791</v>
      </c>
      <c r="E259" s="17" t="s">
        <v>792</v>
      </c>
      <c r="F259" s="17">
        <v>321</v>
      </c>
      <c r="G259" s="17">
        <v>6.5</v>
      </c>
      <c r="H259" s="17" t="str">
        <f>INDEX(Employees!$B$2:$B$17,MATCH(B259,Employees!$A$2:$A$17,0))</f>
        <v>Emerson</v>
      </c>
      <c r="I259" s="17" t="str">
        <f>INDEX(Employees!$C$2:$C$17,MATCH(B259,Employees!$A$2:$A$17,0))</f>
        <v>Shift Supervisor</v>
      </c>
      <c r="J259" s="25">
        <f t="shared" si="8"/>
        <v>49.384615384615387</v>
      </c>
      <c r="K259" s="19">
        <f>IF(J259=0,0,J259/INDEX('Labor Dashboard'!$C$36:$C$39,MATCH(E259,'Labor Dashboard'!$B$36:$B$39,0)))</f>
        <v>0.89790209790209796</v>
      </c>
      <c r="L259" s="18">
        <f t="shared" si="9"/>
        <v>3</v>
      </c>
      <c r="M259" s="20">
        <f>G259*INDEX(Employees!$E$2:$E$17,MATCH(B259,Employees!$A$2:$A$17,0))</f>
        <v>156</v>
      </c>
    </row>
    <row r="260" spans="1:13" ht="18" x14ac:dyDescent="0.2">
      <c r="A260" s="17">
        <v>1146</v>
      </c>
      <c r="B260" s="17">
        <v>31</v>
      </c>
      <c r="C260" s="17" t="s">
        <v>321</v>
      </c>
      <c r="D260" s="17" t="s">
        <v>793</v>
      </c>
      <c r="E260" s="17" t="s">
        <v>796</v>
      </c>
      <c r="F260" s="17">
        <v>235</v>
      </c>
      <c r="G260" s="17">
        <v>7.8</v>
      </c>
      <c r="H260" s="17" t="str">
        <f>INDEX(Employees!$B$2:$B$17,MATCH(B260,Employees!$A$2:$A$17,0))</f>
        <v>Finley</v>
      </c>
      <c r="I260" s="17" t="str">
        <f>INDEX(Employees!$C$2:$C$17,MATCH(B260,Employees!$A$2:$A$17,0))</f>
        <v>Shift Supervisor</v>
      </c>
      <c r="J260" s="25">
        <f t="shared" si="8"/>
        <v>30.128205128205128</v>
      </c>
      <c r="K260" s="19">
        <f>IF(J260=0,0,J260/INDEX('Labor Dashboard'!$C$36:$C$39,MATCH(E260,'Labor Dashboard'!$B$36:$B$39,0)))</f>
        <v>1.2051282051282051</v>
      </c>
      <c r="L260" s="18">
        <f t="shared" si="9"/>
        <v>3</v>
      </c>
      <c r="M260" s="20">
        <f>G260*INDEX(Employees!$E$2:$E$17,MATCH(B260,Employees!$A$2:$A$17,0))</f>
        <v>187.2</v>
      </c>
    </row>
    <row r="261" spans="1:13" ht="18" x14ac:dyDescent="0.2">
      <c r="A261" s="17">
        <v>1147</v>
      </c>
      <c r="B261" s="17">
        <v>17</v>
      </c>
      <c r="C261" s="17" t="s">
        <v>326</v>
      </c>
      <c r="D261" s="17" t="s">
        <v>793</v>
      </c>
      <c r="E261" s="17" t="s">
        <v>792</v>
      </c>
      <c r="F261" s="17">
        <v>410</v>
      </c>
      <c r="G261" s="17">
        <v>8.1999999999999993</v>
      </c>
      <c r="H261" s="17" t="str">
        <f>INDEX(Employees!$B$2:$B$17,MATCH(B261,Employees!$A$2:$A$17,0))</f>
        <v>Jordan</v>
      </c>
      <c r="I261" s="17" t="str">
        <f>INDEX(Employees!$C$2:$C$17,MATCH(B261,Employees!$A$2:$A$17,0))</f>
        <v>Picker</v>
      </c>
      <c r="J261" s="25">
        <f t="shared" si="8"/>
        <v>50.000000000000007</v>
      </c>
      <c r="K261" s="19">
        <f>IF(J261=0,0,J261/INDEX('Labor Dashboard'!$C$36:$C$39,MATCH(E261,'Labor Dashboard'!$B$36:$B$39,0)))</f>
        <v>0.90909090909090917</v>
      </c>
      <c r="L261" s="18">
        <f t="shared" si="9"/>
        <v>3</v>
      </c>
      <c r="M261" s="20">
        <f>G261*INDEX(Employees!$E$2:$E$17,MATCH(B261,Employees!$A$2:$A$17,0))</f>
        <v>139.39999999999998</v>
      </c>
    </row>
    <row r="262" spans="1:13" ht="18" x14ac:dyDescent="0.2">
      <c r="A262" s="17">
        <v>1148</v>
      </c>
      <c r="B262" s="17">
        <v>18</v>
      </c>
      <c r="C262" s="17" t="s">
        <v>326</v>
      </c>
      <c r="D262" s="17" t="s">
        <v>791</v>
      </c>
      <c r="E262" s="17" t="s">
        <v>792</v>
      </c>
      <c r="F262" s="17">
        <v>450</v>
      </c>
      <c r="G262" s="17">
        <v>7.6</v>
      </c>
      <c r="H262" s="17" t="str">
        <f>INDEX(Employees!$B$2:$B$17,MATCH(B262,Employees!$A$2:$A$17,0))</f>
        <v>Casey</v>
      </c>
      <c r="I262" s="17" t="str">
        <f>INDEX(Employees!$C$2:$C$17,MATCH(B262,Employees!$A$2:$A$17,0))</f>
        <v>Picker</v>
      </c>
      <c r="J262" s="25">
        <f t="shared" si="8"/>
        <v>59.21052631578948</v>
      </c>
      <c r="K262" s="19">
        <f>IF(J262=0,0,J262/INDEX('Labor Dashboard'!$C$36:$C$39,MATCH(E262,'Labor Dashboard'!$B$36:$B$39,0)))</f>
        <v>1.0765550239234452</v>
      </c>
      <c r="L262" s="18">
        <f t="shared" si="9"/>
        <v>3</v>
      </c>
      <c r="M262" s="20">
        <f>G262*INDEX(Employees!$E$2:$E$17,MATCH(B262,Employees!$A$2:$A$17,0))</f>
        <v>129.19999999999999</v>
      </c>
    </row>
    <row r="263" spans="1:13" ht="18" x14ac:dyDescent="0.2">
      <c r="A263" s="17">
        <v>1149</v>
      </c>
      <c r="B263" s="17">
        <v>19</v>
      </c>
      <c r="C263" s="17" t="s">
        <v>326</v>
      </c>
      <c r="D263" s="17" t="s">
        <v>791</v>
      </c>
      <c r="E263" s="17" t="s">
        <v>792</v>
      </c>
      <c r="F263" s="17">
        <v>410</v>
      </c>
      <c r="G263" s="17">
        <v>7.5</v>
      </c>
      <c r="H263" s="17" t="str">
        <f>INDEX(Employees!$B$2:$B$17,MATCH(B263,Employees!$A$2:$A$17,0))</f>
        <v>Morgan</v>
      </c>
      <c r="I263" s="17" t="str">
        <f>INDEX(Employees!$C$2:$C$17,MATCH(B263,Employees!$A$2:$A$17,0))</f>
        <v>Picker</v>
      </c>
      <c r="J263" s="25">
        <f t="shared" si="8"/>
        <v>54.666666666666664</v>
      </c>
      <c r="K263" s="19">
        <f>IF(J263=0,0,J263/INDEX('Labor Dashboard'!$C$36:$C$39,MATCH(E263,'Labor Dashboard'!$B$36:$B$39,0)))</f>
        <v>0.9939393939393939</v>
      </c>
      <c r="L263" s="18">
        <f t="shared" si="9"/>
        <v>3</v>
      </c>
      <c r="M263" s="20">
        <f>G263*INDEX(Employees!$E$2:$E$17,MATCH(B263,Employees!$A$2:$A$17,0))</f>
        <v>127.5</v>
      </c>
    </row>
    <row r="264" spans="1:13" ht="18" x14ac:dyDescent="0.2">
      <c r="A264" s="17">
        <v>1150</v>
      </c>
      <c r="B264" s="17">
        <v>20</v>
      </c>
      <c r="C264" s="17" t="s">
        <v>326</v>
      </c>
      <c r="D264" s="17" t="s">
        <v>791</v>
      </c>
      <c r="E264" s="17" t="s">
        <v>792</v>
      </c>
      <c r="F264" s="17">
        <v>418</v>
      </c>
      <c r="G264" s="17">
        <v>7.3</v>
      </c>
      <c r="H264" s="17" t="str">
        <f>INDEX(Employees!$B$2:$B$17,MATCH(B264,Employees!$A$2:$A$17,0))</f>
        <v>Taylor</v>
      </c>
      <c r="I264" s="17" t="str">
        <f>INDEX(Employees!$C$2:$C$17,MATCH(B264,Employees!$A$2:$A$17,0))</f>
        <v>Picker</v>
      </c>
      <c r="J264" s="25">
        <f t="shared" si="8"/>
        <v>57.260273972602739</v>
      </c>
      <c r="K264" s="19">
        <f>IF(J264=0,0,J264/INDEX('Labor Dashboard'!$C$36:$C$39,MATCH(E264,'Labor Dashboard'!$B$36:$B$39,0)))</f>
        <v>1.0410958904109588</v>
      </c>
      <c r="L264" s="18">
        <f t="shared" si="9"/>
        <v>3</v>
      </c>
      <c r="M264" s="20">
        <f>G264*INDEX(Employees!$E$2:$E$17,MATCH(B264,Employees!$A$2:$A$17,0))</f>
        <v>124.1</v>
      </c>
    </row>
    <row r="265" spans="1:13" ht="18" x14ac:dyDescent="0.2">
      <c r="A265" s="17">
        <v>1151</v>
      </c>
      <c r="B265" s="17">
        <v>21</v>
      </c>
      <c r="C265" s="17" t="s">
        <v>326</v>
      </c>
      <c r="D265" s="17" t="s">
        <v>791</v>
      </c>
      <c r="E265" s="17" t="s">
        <v>794</v>
      </c>
      <c r="F265" s="17">
        <v>298</v>
      </c>
      <c r="G265" s="17">
        <v>7.5</v>
      </c>
      <c r="H265" s="17" t="str">
        <f>INDEX(Employees!$B$2:$B$17,MATCH(B265,Employees!$A$2:$A$17,0))</f>
        <v>Riley</v>
      </c>
      <c r="I265" s="17" t="str">
        <f>INDEX(Employees!$C$2:$C$17,MATCH(B265,Employees!$A$2:$A$17,0))</f>
        <v>Packer</v>
      </c>
      <c r="J265" s="25">
        <f t="shared" si="8"/>
        <v>39.733333333333334</v>
      </c>
      <c r="K265" s="19">
        <f>IF(J265=0,0,J265/INDEX('Labor Dashboard'!$C$36:$C$39,MATCH(E265,'Labor Dashboard'!$B$36:$B$39,0)))</f>
        <v>0.88296296296296295</v>
      </c>
      <c r="L265" s="18">
        <f t="shared" si="9"/>
        <v>3</v>
      </c>
      <c r="M265" s="20">
        <f>G265*INDEX(Employees!$E$2:$E$17,MATCH(B265,Employees!$A$2:$A$17,0))</f>
        <v>127.5</v>
      </c>
    </row>
    <row r="266" spans="1:13" ht="18" x14ac:dyDescent="0.2">
      <c r="A266" s="17">
        <v>1152</v>
      </c>
      <c r="B266" s="17">
        <v>22</v>
      </c>
      <c r="C266" s="17" t="s">
        <v>326</v>
      </c>
      <c r="D266" s="17" t="s">
        <v>791</v>
      </c>
      <c r="E266" s="17" t="s">
        <v>794</v>
      </c>
      <c r="F266" s="17">
        <v>375</v>
      </c>
      <c r="G266" s="17">
        <v>7.6</v>
      </c>
      <c r="H266" s="17" t="str">
        <f>INDEX(Employees!$B$2:$B$17,MATCH(B266,Employees!$A$2:$A$17,0))</f>
        <v>Avery</v>
      </c>
      <c r="I266" s="17" t="str">
        <f>INDEX(Employees!$C$2:$C$17,MATCH(B266,Employees!$A$2:$A$17,0))</f>
        <v>Packer</v>
      </c>
      <c r="J266" s="25">
        <f t="shared" si="8"/>
        <v>49.342105263157897</v>
      </c>
      <c r="K266" s="19">
        <f>IF(J266=0,0,J266/INDEX('Labor Dashboard'!$C$36:$C$39,MATCH(E266,'Labor Dashboard'!$B$36:$B$39,0)))</f>
        <v>1.0964912280701755</v>
      </c>
      <c r="L266" s="18">
        <f t="shared" si="9"/>
        <v>3</v>
      </c>
      <c r="M266" s="20">
        <f>G266*INDEX(Employees!$E$2:$E$17,MATCH(B266,Employees!$A$2:$A$17,0))</f>
        <v>129.19999999999999</v>
      </c>
    </row>
    <row r="267" spans="1:13" ht="18" x14ac:dyDescent="0.2">
      <c r="A267" s="17">
        <v>1153</v>
      </c>
      <c r="B267" s="17">
        <v>23</v>
      </c>
      <c r="C267" s="17" t="s">
        <v>326</v>
      </c>
      <c r="D267" s="17" t="s">
        <v>791</v>
      </c>
      <c r="E267" s="17" t="s">
        <v>794</v>
      </c>
      <c r="F267" s="17">
        <v>417</v>
      </c>
      <c r="G267" s="17">
        <v>7.6</v>
      </c>
      <c r="H267" s="17" t="str">
        <f>INDEX(Employees!$B$2:$B$17,MATCH(B267,Employees!$A$2:$A$17,0))</f>
        <v>Cameron</v>
      </c>
      <c r="I267" s="17" t="str">
        <f>INDEX(Employees!$C$2:$C$17,MATCH(B267,Employees!$A$2:$A$17,0))</f>
        <v>Packer</v>
      </c>
      <c r="J267" s="25">
        <f t="shared" si="8"/>
        <v>54.868421052631582</v>
      </c>
      <c r="K267" s="19">
        <f>IF(J267=0,0,J267/INDEX('Labor Dashboard'!$C$36:$C$39,MATCH(E267,'Labor Dashboard'!$B$36:$B$39,0)))</f>
        <v>1.2192982456140351</v>
      </c>
      <c r="L267" s="18">
        <f t="shared" si="9"/>
        <v>3</v>
      </c>
      <c r="M267" s="20">
        <f>G267*INDEX(Employees!$E$2:$E$17,MATCH(B267,Employees!$A$2:$A$17,0))</f>
        <v>129.19999999999999</v>
      </c>
    </row>
    <row r="268" spans="1:13" ht="18" x14ac:dyDescent="0.2">
      <c r="A268" s="17">
        <v>1154</v>
      </c>
      <c r="B268" s="17">
        <v>24</v>
      </c>
      <c r="C268" s="17" t="s">
        <v>326</v>
      </c>
      <c r="D268" s="17" t="s">
        <v>793</v>
      </c>
      <c r="E268" s="17" t="s">
        <v>792</v>
      </c>
      <c r="F268" s="17">
        <v>378</v>
      </c>
      <c r="G268" s="17">
        <v>6.7</v>
      </c>
      <c r="H268" s="17" t="str">
        <f>INDEX(Employees!$B$2:$B$17,MATCH(B268,Employees!$A$2:$A$17,0))</f>
        <v>Dakota</v>
      </c>
      <c r="I268" s="17" t="str">
        <f>INDEX(Employees!$C$2:$C$17,MATCH(B268,Employees!$A$2:$A$17,0))</f>
        <v>Forklift Operator</v>
      </c>
      <c r="J268" s="25">
        <f t="shared" si="8"/>
        <v>56.417910447761194</v>
      </c>
      <c r="K268" s="19">
        <f>IF(J268=0,0,J268/INDEX('Labor Dashboard'!$C$36:$C$39,MATCH(E268,'Labor Dashboard'!$B$36:$B$39,0)))</f>
        <v>1.0257801899592944</v>
      </c>
      <c r="L268" s="18">
        <f t="shared" si="9"/>
        <v>3</v>
      </c>
      <c r="M268" s="20">
        <f>G268*INDEX(Employees!$E$2:$E$17,MATCH(B268,Employees!$A$2:$A$17,0))</f>
        <v>130.65</v>
      </c>
    </row>
    <row r="269" spans="1:13" ht="18" x14ac:dyDescent="0.2">
      <c r="A269" s="17">
        <v>1155</v>
      </c>
      <c r="B269" s="17">
        <v>25</v>
      </c>
      <c r="C269" s="17" t="s">
        <v>326</v>
      </c>
      <c r="D269" s="17" t="s">
        <v>793</v>
      </c>
      <c r="E269" s="17" t="s">
        <v>795</v>
      </c>
      <c r="F269" s="17">
        <v>197</v>
      </c>
      <c r="G269" s="17">
        <v>7</v>
      </c>
      <c r="H269" s="17" t="str">
        <f>INDEX(Employees!$B$2:$B$17,MATCH(B269,Employees!$A$2:$A$17,0))</f>
        <v>Hayden</v>
      </c>
      <c r="I269" s="17" t="str">
        <f>INDEX(Employees!$C$2:$C$17,MATCH(B269,Employees!$A$2:$A$17,0))</f>
        <v>Forklift Operator</v>
      </c>
      <c r="J269" s="25">
        <f t="shared" si="8"/>
        <v>28.142857142857142</v>
      </c>
      <c r="K269" s="19">
        <f>IF(J269=0,0,J269/INDEX('Labor Dashboard'!$C$36:$C$39,MATCH(E269,'Labor Dashboard'!$B$36:$B$39,0)))</f>
        <v>0.93809523809523809</v>
      </c>
      <c r="L269" s="18">
        <f t="shared" si="9"/>
        <v>3</v>
      </c>
      <c r="M269" s="20">
        <f>G269*INDEX(Employees!$E$2:$E$17,MATCH(B269,Employees!$A$2:$A$17,0))</f>
        <v>136.5</v>
      </c>
    </row>
    <row r="270" spans="1:13" ht="18" x14ac:dyDescent="0.2">
      <c r="A270" s="17">
        <v>1156</v>
      </c>
      <c r="B270" s="17">
        <v>27</v>
      </c>
      <c r="C270" s="17" t="s">
        <v>326</v>
      </c>
      <c r="D270" s="17" t="s">
        <v>791</v>
      </c>
      <c r="E270" s="17" t="s">
        <v>795</v>
      </c>
      <c r="F270" s="17">
        <v>211</v>
      </c>
      <c r="G270" s="17">
        <v>8</v>
      </c>
      <c r="H270" s="17" t="str">
        <f>INDEX(Employees!$B$2:$B$17,MATCH(B270,Employees!$A$2:$A$17,0))</f>
        <v>Skyler</v>
      </c>
      <c r="I270" s="17" t="str">
        <f>INDEX(Employees!$C$2:$C$17,MATCH(B270,Employees!$A$2:$A$17,0))</f>
        <v>Receiving Clerk</v>
      </c>
      <c r="J270" s="25">
        <f t="shared" si="8"/>
        <v>26.375</v>
      </c>
      <c r="K270" s="19">
        <f>IF(J270=0,0,J270/INDEX('Labor Dashboard'!$C$36:$C$39,MATCH(E270,'Labor Dashboard'!$B$36:$B$39,0)))</f>
        <v>0.87916666666666665</v>
      </c>
      <c r="L270" s="18">
        <f t="shared" si="9"/>
        <v>3</v>
      </c>
      <c r="M270" s="20">
        <f>G270*INDEX(Employees!$E$2:$E$17,MATCH(B270,Employees!$A$2:$A$17,0))</f>
        <v>144</v>
      </c>
    </row>
    <row r="271" spans="1:13" ht="18" x14ac:dyDescent="0.2">
      <c r="A271" s="17">
        <v>1157</v>
      </c>
      <c r="B271" s="17">
        <v>28</v>
      </c>
      <c r="C271" s="17" t="s">
        <v>326</v>
      </c>
      <c r="D271" s="17" t="s">
        <v>793</v>
      </c>
      <c r="E271" s="17" t="s">
        <v>796</v>
      </c>
      <c r="F271" s="17">
        <v>152</v>
      </c>
      <c r="G271" s="17">
        <v>7</v>
      </c>
      <c r="H271" s="17" t="str">
        <f>INDEX(Employees!$B$2:$B$17,MATCH(B271,Employees!$A$2:$A$17,0))</f>
        <v>Peyton</v>
      </c>
      <c r="I271" s="17" t="str">
        <f>INDEX(Employees!$C$2:$C$17,MATCH(B271,Employees!$A$2:$A$17,0))</f>
        <v>Cycle Counter</v>
      </c>
      <c r="J271" s="25">
        <f t="shared" si="8"/>
        <v>21.714285714285715</v>
      </c>
      <c r="K271" s="19">
        <f>IF(J271=0,0,J271/INDEX('Labor Dashboard'!$C$36:$C$39,MATCH(E271,'Labor Dashboard'!$B$36:$B$39,0)))</f>
        <v>0.86857142857142866</v>
      </c>
      <c r="L271" s="18">
        <f t="shared" si="9"/>
        <v>3</v>
      </c>
      <c r="M271" s="20">
        <f>G271*INDEX(Employees!$E$2:$E$17,MATCH(B271,Employees!$A$2:$A$17,0))</f>
        <v>126</v>
      </c>
    </row>
    <row r="272" spans="1:13" ht="18" x14ac:dyDescent="0.2">
      <c r="A272" s="17">
        <v>1158</v>
      </c>
      <c r="B272" s="17">
        <v>29</v>
      </c>
      <c r="C272" s="17" t="s">
        <v>326</v>
      </c>
      <c r="D272" s="17" t="s">
        <v>793</v>
      </c>
      <c r="E272" s="17" t="s">
        <v>796</v>
      </c>
      <c r="F272" s="17">
        <v>201</v>
      </c>
      <c r="G272" s="17">
        <v>7.5</v>
      </c>
      <c r="H272" s="17" t="str">
        <f>INDEX(Employees!$B$2:$B$17,MATCH(B272,Employees!$A$2:$A$17,0))</f>
        <v>Rowan</v>
      </c>
      <c r="I272" s="17" t="str">
        <f>INDEX(Employees!$C$2:$C$17,MATCH(B272,Employees!$A$2:$A$17,0))</f>
        <v>Cycle Counter</v>
      </c>
      <c r="J272" s="25">
        <f t="shared" si="8"/>
        <v>26.8</v>
      </c>
      <c r="K272" s="19">
        <f>IF(J272=0,0,J272/INDEX('Labor Dashboard'!$C$36:$C$39,MATCH(E272,'Labor Dashboard'!$B$36:$B$39,0)))</f>
        <v>1.0720000000000001</v>
      </c>
      <c r="L272" s="18">
        <f t="shared" si="9"/>
        <v>3</v>
      </c>
      <c r="M272" s="20">
        <f>G272*INDEX(Employees!$E$2:$E$17,MATCH(B272,Employees!$A$2:$A$17,0))</f>
        <v>135</v>
      </c>
    </row>
    <row r="273" spans="1:13" ht="18" x14ac:dyDescent="0.2">
      <c r="A273" s="17">
        <v>1159</v>
      </c>
      <c r="B273" s="17">
        <v>30</v>
      </c>
      <c r="C273" s="17" t="s">
        <v>326</v>
      </c>
      <c r="D273" s="17" t="s">
        <v>791</v>
      </c>
      <c r="E273" s="17" t="s">
        <v>795</v>
      </c>
      <c r="F273" s="17">
        <v>227</v>
      </c>
      <c r="G273" s="17">
        <v>8.3000000000000007</v>
      </c>
      <c r="H273" s="17" t="str">
        <f>INDEX(Employees!$B$2:$B$17,MATCH(B273,Employees!$A$2:$A$17,0))</f>
        <v>Emerson</v>
      </c>
      <c r="I273" s="17" t="str">
        <f>INDEX(Employees!$C$2:$C$17,MATCH(B273,Employees!$A$2:$A$17,0))</f>
        <v>Shift Supervisor</v>
      </c>
      <c r="J273" s="25">
        <f t="shared" si="8"/>
        <v>27.349397590361445</v>
      </c>
      <c r="K273" s="19">
        <f>IF(J273=0,0,J273/INDEX('Labor Dashboard'!$C$36:$C$39,MATCH(E273,'Labor Dashboard'!$B$36:$B$39,0)))</f>
        <v>0.91164658634538154</v>
      </c>
      <c r="L273" s="18">
        <f t="shared" si="9"/>
        <v>3</v>
      </c>
      <c r="M273" s="20">
        <f>G273*INDEX(Employees!$E$2:$E$17,MATCH(B273,Employees!$A$2:$A$17,0))</f>
        <v>199.20000000000002</v>
      </c>
    </row>
    <row r="274" spans="1:13" ht="18" x14ac:dyDescent="0.2">
      <c r="A274" s="17">
        <v>1160</v>
      </c>
      <c r="B274" s="17">
        <v>31</v>
      </c>
      <c r="C274" s="17" t="s">
        <v>326</v>
      </c>
      <c r="D274" s="17" t="s">
        <v>793</v>
      </c>
      <c r="E274" s="17" t="s">
        <v>795</v>
      </c>
      <c r="F274" s="17">
        <v>247</v>
      </c>
      <c r="G274" s="17">
        <v>7.7</v>
      </c>
      <c r="H274" s="17" t="str">
        <f>INDEX(Employees!$B$2:$B$17,MATCH(B274,Employees!$A$2:$A$17,0))</f>
        <v>Finley</v>
      </c>
      <c r="I274" s="17" t="str">
        <f>INDEX(Employees!$C$2:$C$17,MATCH(B274,Employees!$A$2:$A$17,0))</f>
        <v>Shift Supervisor</v>
      </c>
      <c r="J274" s="25">
        <f t="shared" si="8"/>
        <v>32.077922077922075</v>
      </c>
      <c r="K274" s="19">
        <f>IF(J274=0,0,J274/INDEX('Labor Dashboard'!$C$36:$C$39,MATCH(E274,'Labor Dashboard'!$B$36:$B$39,0)))</f>
        <v>1.0692640692640691</v>
      </c>
      <c r="L274" s="18">
        <f t="shared" si="9"/>
        <v>3</v>
      </c>
      <c r="M274" s="20">
        <f>G274*INDEX(Employees!$E$2:$E$17,MATCH(B274,Employees!$A$2:$A$17,0))</f>
        <v>184.8</v>
      </c>
    </row>
    <row r="275" spans="1:13" ht="18" x14ac:dyDescent="0.2">
      <c r="A275" s="17">
        <v>1161</v>
      </c>
      <c r="B275" s="17">
        <v>32</v>
      </c>
      <c r="C275" s="17" t="s">
        <v>326</v>
      </c>
      <c r="D275" s="17" t="s">
        <v>793</v>
      </c>
      <c r="E275" s="17" t="s">
        <v>792</v>
      </c>
      <c r="F275" s="17">
        <v>433</v>
      </c>
      <c r="G275" s="17">
        <v>8.3000000000000007</v>
      </c>
      <c r="H275" s="17" t="str">
        <f>INDEX(Employees!$B$2:$B$17,MATCH(B275,Employees!$A$2:$A$17,0))</f>
        <v>Sawyer</v>
      </c>
      <c r="I275" s="17" t="str">
        <f>INDEX(Employees!$C$2:$C$17,MATCH(B275,Employees!$A$2:$A$17,0))</f>
        <v>Shift Supervisor</v>
      </c>
      <c r="J275" s="25">
        <f t="shared" si="8"/>
        <v>52.168674698795179</v>
      </c>
      <c r="K275" s="19">
        <f>IF(J275=0,0,J275/INDEX('Labor Dashboard'!$C$36:$C$39,MATCH(E275,'Labor Dashboard'!$B$36:$B$39,0)))</f>
        <v>0.94852135815991234</v>
      </c>
      <c r="L275" s="18">
        <f t="shared" si="9"/>
        <v>3</v>
      </c>
      <c r="M275" s="20">
        <f>G275*INDEX(Employees!$E$2:$E$17,MATCH(B275,Employees!$A$2:$A$17,0))</f>
        <v>199.20000000000002</v>
      </c>
    </row>
    <row r="276" spans="1:13" ht="18" x14ac:dyDescent="0.2">
      <c r="A276" s="17">
        <v>1162</v>
      </c>
      <c r="B276" s="17">
        <v>17</v>
      </c>
      <c r="C276" s="17" t="s">
        <v>176</v>
      </c>
      <c r="D276" s="17" t="s">
        <v>793</v>
      </c>
      <c r="E276" s="17" t="s">
        <v>792</v>
      </c>
      <c r="F276" s="17">
        <v>381</v>
      </c>
      <c r="G276" s="17">
        <v>8.1999999999999993</v>
      </c>
      <c r="H276" s="17" t="str">
        <f>INDEX(Employees!$B$2:$B$17,MATCH(B276,Employees!$A$2:$A$17,0))</f>
        <v>Jordan</v>
      </c>
      <c r="I276" s="17" t="str">
        <f>INDEX(Employees!$C$2:$C$17,MATCH(B276,Employees!$A$2:$A$17,0))</f>
        <v>Picker</v>
      </c>
      <c r="J276" s="25">
        <f t="shared" si="8"/>
        <v>46.463414634146346</v>
      </c>
      <c r="K276" s="19">
        <f>IF(J276=0,0,J276/INDEX('Labor Dashboard'!$C$36:$C$39,MATCH(E276,'Labor Dashboard'!$B$36:$B$39,0)))</f>
        <v>0.84478935698447899</v>
      </c>
      <c r="L276" s="18">
        <f t="shared" si="9"/>
        <v>4</v>
      </c>
      <c r="M276" s="20">
        <f>G276*INDEX(Employees!$E$2:$E$17,MATCH(B276,Employees!$A$2:$A$17,0))</f>
        <v>139.39999999999998</v>
      </c>
    </row>
    <row r="277" spans="1:13" ht="18" x14ac:dyDescent="0.2">
      <c r="A277" s="17">
        <v>1163</v>
      </c>
      <c r="B277" s="17">
        <v>18</v>
      </c>
      <c r="C277" s="17" t="s">
        <v>176</v>
      </c>
      <c r="D277" s="17" t="s">
        <v>791</v>
      </c>
      <c r="E277" s="17" t="s">
        <v>792</v>
      </c>
      <c r="F277" s="17">
        <v>529</v>
      </c>
      <c r="G277" s="17">
        <v>8.3000000000000007</v>
      </c>
      <c r="H277" s="17" t="str">
        <f>INDEX(Employees!$B$2:$B$17,MATCH(B277,Employees!$A$2:$A$17,0))</f>
        <v>Casey</v>
      </c>
      <c r="I277" s="17" t="str">
        <f>INDEX(Employees!$C$2:$C$17,MATCH(B277,Employees!$A$2:$A$17,0))</f>
        <v>Picker</v>
      </c>
      <c r="J277" s="25">
        <f t="shared" si="8"/>
        <v>63.734939759036138</v>
      </c>
      <c r="K277" s="19">
        <f>IF(J277=0,0,J277/INDEX('Labor Dashboard'!$C$36:$C$39,MATCH(E277,'Labor Dashboard'!$B$36:$B$39,0)))</f>
        <v>1.1588170865279297</v>
      </c>
      <c r="L277" s="18">
        <f t="shared" si="9"/>
        <v>4</v>
      </c>
      <c r="M277" s="20">
        <f>G277*INDEX(Employees!$E$2:$E$17,MATCH(B277,Employees!$A$2:$A$17,0))</f>
        <v>141.10000000000002</v>
      </c>
    </row>
    <row r="278" spans="1:13" ht="18" x14ac:dyDescent="0.2">
      <c r="A278" s="17">
        <v>1164</v>
      </c>
      <c r="B278" s="17">
        <v>19</v>
      </c>
      <c r="C278" s="17" t="s">
        <v>176</v>
      </c>
      <c r="D278" s="17" t="s">
        <v>791</v>
      </c>
      <c r="E278" s="17" t="s">
        <v>792</v>
      </c>
      <c r="F278" s="17">
        <v>422</v>
      </c>
      <c r="G278" s="17">
        <v>7.5</v>
      </c>
      <c r="H278" s="17" t="str">
        <f>INDEX(Employees!$B$2:$B$17,MATCH(B278,Employees!$A$2:$A$17,0))</f>
        <v>Morgan</v>
      </c>
      <c r="I278" s="17" t="str">
        <f>INDEX(Employees!$C$2:$C$17,MATCH(B278,Employees!$A$2:$A$17,0))</f>
        <v>Picker</v>
      </c>
      <c r="J278" s="25">
        <f t="shared" si="8"/>
        <v>56.266666666666666</v>
      </c>
      <c r="K278" s="19">
        <f>IF(J278=0,0,J278/INDEX('Labor Dashboard'!$C$36:$C$39,MATCH(E278,'Labor Dashboard'!$B$36:$B$39,0)))</f>
        <v>1.023030303030303</v>
      </c>
      <c r="L278" s="18">
        <f t="shared" si="9"/>
        <v>4</v>
      </c>
      <c r="M278" s="20">
        <f>G278*INDEX(Employees!$E$2:$E$17,MATCH(B278,Employees!$A$2:$A$17,0))</f>
        <v>127.5</v>
      </c>
    </row>
    <row r="279" spans="1:13" ht="18" x14ac:dyDescent="0.2">
      <c r="A279" s="17">
        <v>1165</v>
      </c>
      <c r="B279" s="17">
        <v>20</v>
      </c>
      <c r="C279" s="17" t="s">
        <v>176</v>
      </c>
      <c r="D279" s="17" t="s">
        <v>791</v>
      </c>
      <c r="E279" s="17" t="s">
        <v>792</v>
      </c>
      <c r="F279" s="17">
        <v>389</v>
      </c>
      <c r="G279" s="17">
        <v>6.7</v>
      </c>
      <c r="H279" s="17" t="str">
        <f>INDEX(Employees!$B$2:$B$17,MATCH(B279,Employees!$A$2:$A$17,0))</f>
        <v>Taylor</v>
      </c>
      <c r="I279" s="17" t="str">
        <f>INDEX(Employees!$C$2:$C$17,MATCH(B279,Employees!$A$2:$A$17,0))</f>
        <v>Picker</v>
      </c>
      <c r="J279" s="25">
        <f t="shared" si="8"/>
        <v>58.059701492537314</v>
      </c>
      <c r="K279" s="19">
        <f>IF(J279=0,0,J279/INDEX('Labor Dashboard'!$C$36:$C$39,MATCH(E279,'Labor Dashboard'!$B$36:$B$39,0)))</f>
        <v>1.0556309362279512</v>
      </c>
      <c r="L279" s="18">
        <f t="shared" si="9"/>
        <v>4</v>
      </c>
      <c r="M279" s="20">
        <f>G279*INDEX(Employees!$E$2:$E$17,MATCH(B279,Employees!$A$2:$A$17,0))</f>
        <v>113.9</v>
      </c>
    </row>
    <row r="280" spans="1:13" ht="18" x14ac:dyDescent="0.2">
      <c r="A280" s="17">
        <v>1166</v>
      </c>
      <c r="B280" s="17">
        <v>21</v>
      </c>
      <c r="C280" s="17" t="s">
        <v>176</v>
      </c>
      <c r="D280" s="17" t="s">
        <v>793</v>
      </c>
      <c r="E280" s="17" t="s">
        <v>794</v>
      </c>
      <c r="F280" s="17">
        <v>277</v>
      </c>
      <c r="G280" s="17">
        <v>6.7</v>
      </c>
      <c r="H280" s="17" t="str">
        <f>INDEX(Employees!$B$2:$B$17,MATCH(B280,Employees!$A$2:$A$17,0))</f>
        <v>Riley</v>
      </c>
      <c r="I280" s="17" t="str">
        <f>INDEX(Employees!$C$2:$C$17,MATCH(B280,Employees!$A$2:$A$17,0))</f>
        <v>Packer</v>
      </c>
      <c r="J280" s="25">
        <f t="shared" si="8"/>
        <v>41.343283582089548</v>
      </c>
      <c r="K280" s="19">
        <f>IF(J280=0,0,J280/INDEX('Labor Dashboard'!$C$36:$C$39,MATCH(E280,'Labor Dashboard'!$B$36:$B$39,0)))</f>
        <v>0.91873963515754553</v>
      </c>
      <c r="L280" s="18">
        <f t="shared" si="9"/>
        <v>4</v>
      </c>
      <c r="M280" s="20">
        <f>G280*INDEX(Employees!$E$2:$E$17,MATCH(B280,Employees!$A$2:$A$17,0))</f>
        <v>113.9</v>
      </c>
    </row>
    <row r="281" spans="1:13" ht="18" x14ac:dyDescent="0.2">
      <c r="A281" s="17">
        <v>1167</v>
      </c>
      <c r="B281" s="17">
        <v>22</v>
      </c>
      <c r="C281" s="17" t="s">
        <v>176</v>
      </c>
      <c r="D281" s="17" t="s">
        <v>793</v>
      </c>
      <c r="E281" s="17" t="s">
        <v>794</v>
      </c>
      <c r="F281" s="17">
        <v>313</v>
      </c>
      <c r="G281" s="17">
        <v>6.9</v>
      </c>
      <c r="H281" s="17" t="str">
        <f>INDEX(Employees!$B$2:$B$17,MATCH(B281,Employees!$A$2:$A$17,0))</f>
        <v>Avery</v>
      </c>
      <c r="I281" s="17" t="str">
        <f>INDEX(Employees!$C$2:$C$17,MATCH(B281,Employees!$A$2:$A$17,0))</f>
        <v>Packer</v>
      </c>
      <c r="J281" s="25">
        <f t="shared" si="8"/>
        <v>45.362318840579711</v>
      </c>
      <c r="K281" s="19">
        <f>IF(J281=0,0,J281/INDEX('Labor Dashboard'!$C$36:$C$39,MATCH(E281,'Labor Dashboard'!$B$36:$B$39,0)))</f>
        <v>1.0080515297906603</v>
      </c>
      <c r="L281" s="18">
        <f t="shared" si="9"/>
        <v>4</v>
      </c>
      <c r="M281" s="20">
        <f>G281*INDEX(Employees!$E$2:$E$17,MATCH(B281,Employees!$A$2:$A$17,0))</f>
        <v>117.30000000000001</v>
      </c>
    </row>
    <row r="282" spans="1:13" ht="18" x14ac:dyDescent="0.2">
      <c r="A282" s="17">
        <v>1168</v>
      </c>
      <c r="B282" s="17">
        <v>23</v>
      </c>
      <c r="C282" s="17" t="s">
        <v>176</v>
      </c>
      <c r="D282" s="17" t="s">
        <v>793</v>
      </c>
      <c r="E282" s="17" t="s">
        <v>794</v>
      </c>
      <c r="F282" s="17">
        <v>441</v>
      </c>
      <c r="G282" s="17">
        <v>8.1999999999999993</v>
      </c>
      <c r="H282" s="17" t="str">
        <f>INDEX(Employees!$B$2:$B$17,MATCH(B282,Employees!$A$2:$A$17,0))</f>
        <v>Cameron</v>
      </c>
      <c r="I282" s="17" t="str">
        <f>INDEX(Employees!$C$2:$C$17,MATCH(B282,Employees!$A$2:$A$17,0))</f>
        <v>Packer</v>
      </c>
      <c r="J282" s="25">
        <f t="shared" si="8"/>
        <v>53.780487804878057</v>
      </c>
      <c r="K282" s="19">
        <f>IF(J282=0,0,J282/INDEX('Labor Dashboard'!$C$36:$C$39,MATCH(E282,'Labor Dashboard'!$B$36:$B$39,0)))</f>
        <v>1.1951219512195124</v>
      </c>
      <c r="L282" s="18">
        <f t="shared" si="9"/>
        <v>4</v>
      </c>
      <c r="M282" s="20">
        <f>G282*INDEX(Employees!$E$2:$E$17,MATCH(B282,Employees!$A$2:$A$17,0))</f>
        <v>139.39999999999998</v>
      </c>
    </row>
    <row r="283" spans="1:13" ht="18" x14ac:dyDescent="0.2">
      <c r="A283" s="17">
        <v>1169</v>
      </c>
      <c r="B283" s="17">
        <v>24</v>
      </c>
      <c r="C283" s="17" t="s">
        <v>176</v>
      </c>
      <c r="D283" s="17" t="s">
        <v>793</v>
      </c>
      <c r="E283" s="17" t="s">
        <v>792</v>
      </c>
      <c r="F283" s="17">
        <v>424</v>
      </c>
      <c r="G283" s="17">
        <v>8.1</v>
      </c>
      <c r="H283" s="17" t="str">
        <f>INDEX(Employees!$B$2:$B$17,MATCH(B283,Employees!$A$2:$A$17,0))</f>
        <v>Dakota</v>
      </c>
      <c r="I283" s="17" t="str">
        <f>INDEX(Employees!$C$2:$C$17,MATCH(B283,Employees!$A$2:$A$17,0))</f>
        <v>Forklift Operator</v>
      </c>
      <c r="J283" s="25">
        <f t="shared" si="8"/>
        <v>52.345679012345684</v>
      </c>
      <c r="K283" s="19">
        <f>IF(J283=0,0,J283/INDEX('Labor Dashboard'!$C$36:$C$39,MATCH(E283,'Labor Dashboard'!$B$36:$B$39,0)))</f>
        <v>0.95173961840628518</v>
      </c>
      <c r="L283" s="18">
        <f t="shared" si="9"/>
        <v>4</v>
      </c>
      <c r="M283" s="20">
        <f>G283*INDEX(Employees!$E$2:$E$17,MATCH(B283,Employees!$A$2:$A$17,0))</f>
        <v>157.94999999999999</v>
      </c>
    </row>
    <row r="284" spans="1:13" ht="18" x14ac:dyDescent="0.2">
      <c r="A284" s="17">
        <v>1170</v>
      </c>
      <c r="B284" s="17">
        <v>25</v>
      </c>
      <c r="C284" s="17" t="s">
        <v>176</v>
      </c>
      <c r="D284" s="17" t="s">
        <v>791</v>
      </c>
      <c r="E284" s="17" t="s">
        <v>795</v>
      </c>
      <c r="F284" s="17">
        <v>194</v>
      </c>
      <c r="G284" s="17">
        <v>6.5</v>
      </c>
      <c r="H284" s="17" t="str">
        <f>INDEX(Employees!$B$2:$B$17,MATCH(B284,Employees!$A$2:$A$17,0))</f>
        <v>Hayden</v>
      </c>
      <c r="I284" s="17" t="str">
        <f>INDEX(Employees!$C$2:$C$17,MATCH(B284,Employees!$A$2:$A$17,0))</f>
        <v>Forklift Operator</v>
      </c>
      <c r="J284" s="25">
        <f t="shared" si="8"/>
        <v>29.846153846153847</v>
      </c>
      <c r="K284" s="19">
        <f>IF(J284=0,0,J284/INDEX('Labor Dashboard'!$C$36:$C$39,MATCH(E284,'Labor Dashboard'!$B$36:$B$39,0)))</f>
        <v>0.99487179487179489</v>
      </c>
      <c r="L284" s="18">
        <f t="shared" si="9"/>
        <v>4</v>
      </c>
      <c r="M284" s="20">
        <f>G284*INDEX(Employees!$E$2:$E$17,MATCH(B284,Employees!$A$2:$A$17,0))</f>
        <v>126.75</v>
      </c>
    </row>
    <row r="285" spans="1:13" ht="18" x14ac:dyDescent="0.2">
      <c r="A285" s="17">
        <v>1171</v>
      </c>
      <c r="B285" s="17">
        <v>27</v>
      </c>
      <c r="C285" s="17" t="s">
        <v>176</v>
      </c>
      <c r="D285" s="17" t="s">
        <v>793</v>
      </c>
      <c r="E285" s="17" t="s">
        <v>795</v>
      </c>
      <c r="F285" s="17">
        <v>209</v>
      </c>
      <c r="G285" s="17">
        <v>7.9</v>
      </c>
      <c r="H285" s="17" t="str">
        <f>INDEX(Employees!$B$2:$B$17,MATCH(B285,Employees!$A$2:$A$17,0))</f>
        <v>Skyler</v>
      </c>
      <c r="I285" s="17" t="str">
        <f>INDEX(Employees!$C$2:$C$17,MATCH(B285,Employees!$A$2:$A$17,0))</f>
        <v>Receiving Clerk</v>
      </c>
      <c r="J285" s="25">
        <f t="shared" si="8"/>
        <v>26.455696202531644</v>
      </c>
      <c r="K285" s="19">
        <f>IF(J285=0,0,J285/INDEX('Labor Dashboard'!$C$36:$C$39,MATCH(E285,'Labor Dashboard'!$B$36:$B$39,0)))</f>
        <v>0.88185654008438819</v>
      </c>
      <c r="L285" s="18">
        <f t="shared" si="9"/>
        <v>4</v>
      </c>
      <c r="M285" s="20">
        <f>G285*INDEX(Employees!$E$2:$E$17,MATCH(B285,Employees!$A$2:$A$17,0))</f>
        <v>142.20000000000002</v>
      </c>
    </row>
    <row r="286" spans="1:13" ht="18" x14ac:dyDescent="0.2">
      <c r="A286" s="17">
        <v>1172</v>
      </c>
      <c r="B286" s="17">
        <v>28</v>
      </c>
      <c r="C286" s="17" t="s">
        <v>176</v>
      </c>
      <c r="D286" s="17" t="s">
        <v>793</v>
      </c>
      <c r="E286" s="17" t="s">
        <v>796</v>
      </c>
      <c r="F286" s="17">
        <v>173</v>
      </c>
      <c r="G286" s="17">
        <v>7.6</v>
      </c>
      <c r="H286" s="17" t="str">
        <f>INDEX(Employees!$B$2:$B$17,MATCH(B286,Employees!$A$2:$A$17,0))</f>
        <v>Peyton</v>
      </c>
      <c r="I286" s="17" t="str">
        <f>INDEX(Employees!$C$2:$C$17,MATCH(B286,Employees!$A$2:$A$17,0))</f>
        <v>Cycle Counter</v>
      </c>
      <c r="J286" s="25">
        <f t="shared" si="8"/>
        <v>22.763157894736842</v>
      </c>
      <c r="K286" s="19">
        <f>IF(J286=0,0,J286/INDEX('Labor Dashboard'!$C$36:$C$39,MATCH(E286,'Labor Dashboard'!$B$36:$B$39,0)))</f>
        <v>0.91052631578947374</v>
      </c>
      <c r="L286" s="18">
        <f t="shared" si="9"/>
        <v>4</v>
      </c>
      <c r="M286" s="20">
        <f>G286*INDEX(Employees!$E$2:$E$17,MATCH(B286,Employees!$A$2:$A$17,0))</f>
        <v>136.79999999999998</v>
      </c>
    </row>
    <row r="287" spans="1:13" ht="18" x14ac:dyDescent="0.2">
      <c r="A287" s="17">
        <v>1173</v>
      </c>
      <c r="B287" s="17">
        <v>29</v>
      </c>
      <c r="C287" s="17" t="s">
        <v>176</v>
      </c>
      <c r="D287" s="17" t="s">
        <v>793</v>
      </c>
      <c r="E287" s="17" t="s">
        <v>796</v>
      </c>
      <c r="F287" s="17">
        <v>205</v>
      </c>
      <c r="G287" s="17">
        <v>8</v>
      </c>
      <c r="H287" s="17" t="str">
        <f>INDEX(Employees!$B$2:$B$17,MATCH(B287,Employees!$A$2:$A$17,0))</f>
        <v>Rowan</v>
      </c>
      <c r="I287" s="17" t="str">
        <f>INDEX(Employees!$C$2:$C$17,MATCH(B287,Employees!$A$2:$A$17,0))</f>
        <v>Cycle Counter</v>
      </c>
      <c r="J287" s="25">
        <f t="shared" si="8"/>
        <v>25.625</v>
      </c>
      <c r="K287" s="19">
        <f>IF(J287=0,0,J287/INDEX('Labor Dashboard'!$C$36:$C$39,MATCH(E287,'Labor Dashboard'!$B$36:$B$39,0)))</f>
        <v>1.0249999999999999</v>
      </c>
      <c r="L287" s="18">
        <f t="shared" si="9"/>
        <v>4</v>
      </c>
      <c r="M287" s="20">
        <f>G287*INDEX(Employees!$E$2:$E$17,MATCH(B287,Employees!$A$2:$A$17,0))</f>
        <v>144</v>
      </c>
    </row>
    <row r="288" spans="1:13" ht="18" x14ac:dyDescent="0.2">
      <c r="A288" s="17">
        <v>1174</v>
      </c>
      <c r="B288" s="17">
        <v>30</v>
      </c>
      <c r="C288" s="17" t="s">
        <v>176</v>
      </c>
      <c r="D288" s="17" t="s">
        <v>793</v>
      </c>
      <c r="E288" s="17" t="s">
        <v>792</v>
      </c>
      <c r="F288" s="17">
        <v>347</v>
      </c>
      <c r="G288" s="17">
        <v>6.8</v>
      </c>
      <c r="H288" s="17" t="str">
        <f>INDEX(Employees!$B$2:$B$17,MATCH(B288,Employees!$A$2:$A$17,0))</f>
        <v>Emerson</v>
      </c>
      <c r="I288" s="17" t="str">
        <f>INDEX(Employees!$C$2:$C$17,MATCH(B288,Employees!$A$2:$A$17,0))</f>
        <v>Shift Supervisor</v>
      </c>
      <c r="J288" s="25">
        <f t="shared" si="8"/>
        <v>51.029411764705884</v>
      </c>
      <c r="K288" s="19">
        <f>IF(J288=0,0,J288/INDEX('Labor Dashboard'!$C$36:$C$39,MATCH(E288,'Labor Dashboard'!$B$36:$B$39,0)))</f>
        <v>0.92780748663101609</v>
      </c>
      <c r="L288" s="18">
        <f t="shared" si="9"/>
        <v>4</v>
      </c>
      <c r="M288" s="20">
        <f>G288*INDEX(Employees!$E$2:$E$17,MATCH(B288,Employees!$A$2:$A$17,0))</f>
        <v>163.19999999999999</v>
      </c>
    </row>
    <row r="289" spans="1:13" ht="18" x14ac:dyDescent="0.2">
      <c r="A289" s="17">
        <v>1175</v>
      </c>
      <c r="B289" s="17">
        <v>31</v>
      </c>
      <c r="C289" s="17" t="s">
        <v>176</v>
      </c>
      <c r="D289" s="17" t="s">
        <v>791</v>
      </c>
      <c r="E289" s="17" t="s">
        <v>796</v>
      </c>
      <c r="F289" s="17">
        <v>214</v>
      </c>
      <c r="G289" s="17">
        <v>8.4</v>
      </c>
      <c r="H289" s="17" t="str">
        <f>INDEX(Employees!$B$2:$B$17,MATCH(B289,Employees!$A$2:$A$17,0))</f>
        <v>Finley</v>
      </c>
      <c r="I289" s="17" t="str">
        <f>INDEX(Employees!$C$2:$C$17,MATCH(B289,Employees!$A$2:$A$17,0))</f>
        <v>Shift Supervisor</v>
      </c>
      <c r="J289" s="25">
        <f t="shared" si="8"/>
        <v>25.476190476190474</v>
      </c>
      <c r="K289" s="19">
        <f>IF(J289=0,0,J289/INDEX('Labor Dashboard'!$C$36:$C$39,MATCH(E289,'Labor Dashboard'!$B$36:$B$39,0)))</f>
        <v>1.019047619047619</v>
      </c>
      <c r="L289" s="18">
        <f t="shared" si="9"/>
        <v>4</v>
      </c>
      <c r="M289" s="20">
        <f>G289*INDEX(Employees!$E$2:$E$17,MATCH(B289,Employees!$A$2:$A$17,0))</f>
        <v>201.60000000000002</v>
      </c>
    </row>
    <row r="290" spans="1:13" ht="18" x14ac:dyDescent="0.2">
      <c r="A290" s="17">
        <v>1176</v>
      </c>
      <c r="B290" s="17">
        <v>32</v>
      </c>
      <c r="C290" s="17" t="s">
        <v>176</v>
      </c>
      <c r="D290" s="17" t="s">
        <v>791</v>
      </c>
      <c r="E290" s="17" t="s">
        <v>794</v>
      </c>
      <c r="F290" s="17">
        <v>341</v>
      </c>
      <c r="G290" s="17">
        <v>8.1999999999999993</v>
      </c>
      <c r="H290" s="17" t="str">
        <f>INDEX(Employees!$B$2:$B$17,MATCH(B290,Employees!$A$2:$A$17,0))</f>
        <v>Sawyer</v>
      </c>
      <c r="I290" s="17" t="str">
        <f>INDEX(Employees!$C$2:$C$17,MATCH(B290,Employees!$A$2:$A$17,0))</f>
        <v>Shift Supervisor</v>
      </c>
      <c r="J290" s="25">
        <f t="shared" si="8"/>
        <v>41.585365853658537</v>
      </c>
      <c r="K290" s="19">
        <f>IF(J290=0,0,J290/INDEX('Labor Dashboard'!$C$36:$C$39,MATCH(E290,'Labor Dashboard'!$B$36:$B$39,0)))</f>
        <v>0.92411924119241196</v>
      </c>
      <c r="L290" s="18">
        <f t="shared" si="9"/>
        <v>4</v>
      </c>
      <c r="M290" s="20">
        <f>G290*INDEX(Employees!$E$2:$E$17,MATCH(B290,Employees!$A$2:$A$17,0))</f>
        <v>196.79999999999998</v>
      </c>
    </row>
    <row r="291" spans="1:13" ht="18" x14ac:dyDescent="0.2">
      <c r="A291" s="17">
        <v>1177</v>
      </c>
      <c r="B291" s="17">
        <v>17</v>
      </c>
      <c r="C291" s="17" t="s">
        <v>295</v>
      </c>
      <c r="D291" s="17" t="s">
        <v>791</v>
      </c>
      <c r="E291" s="17" t="s">
        <v>792</v>
      </c>
      <c r="F291" s="17">
        <v>404</v>
      </c>
      <c r="G291" s="17">
        <v>7.6</v>
      </c>
      <c r="H291" s="17" t="str">
        <f>INDEX(Employees!$B$2:$B$17,MATCH(B291,Employees!$A$2:$A$17,0))</f>
        <v>Jordan</v>
      </c>
      <c r="I291" s="17" t="str">
        <f>INDEX(Employees!$C$2:$C$17,MATCH(B291,Employees!$A$2:$A$17,0))</f>
        <v>Picker</v>
      </c>
      <c r="J291" s="25">
        <f t="shared" si="8"/>
        <v>53.15789473684211</v>
      </c>
      <c r="K291" s="19">
        <f>IF(J291=0,0,J291/INDEX('Labor Dashboard'!$C$36:$C$39,MATCH(E291,'Labor Dashboard'!$B$36:$B$39,0)))</f>
        <v>0.96650717703349287</v>
      </c>
      <c r="L291" s="18">
        <f t="shared" si="9"/>
        <v>4</v>
      </c>
      <c r="M291" s="20">
        <f>G291*INDEX(Employees!$E$2:$E$17,MATCH(B291,Employees!$A$2:$A$17,0))</f>
        <v>129.19999999999999</v>
      </c>
    </row>
    <row r="292" spans="1:13" ht="18" x14ac:dyDescent="0.2">
      <c r="A292" s="17">
        <v>1178</v>
      </c>
      <c r="B292" s="17">
        <v>18</v>
      </c>
      <c r="C292" s="17" t="s">
        <v>295</v>
      </c>
      <c r="D292" s="17" t="s">
        <v>793</v>
      </c>
      <c r="E292" s="17" t="s">
        <v>792</v>
      </c>
      <c r="F292" s="17">
        <v>440</v>
      </c>
      <c r="G292" s="17">
        <v>8.1999999999999993</v>
      </c>
      <c r="H292" s="17" t="str">
        <f>INDEX(Employees!$B$2:$B$17,MATCH(B292,Employees!$A$2:$A$17,0))</f>
        <v>Casey</v>
      </c>
      <c r="I292" s="17" t="str">
        <f>INDEX(Employees!$C$2:$C$17,MATCH(B292,Employees!$A$2:$A$17,0))</f>
        <v>Picker</v>
      </c>
      <c r="J292" s="25">
        <f t="shared" si="8"/>
        <v>53.658536585365859</v>
      </c>
      <c r="K292" s="19">
        <f>IF(J292=0,0,J292/INDEX('Labor Dashboard'!$C$36:$C$39,MATCH(E292,'Labor Dashboard'!$B$36:$B$39,0)))</f>
        <v>0.97560975609756106</v>
      </c>
      <c r="L292" s="18">
        <f t="shared" si="9"/>
        <v>4</v>
      </c>
      <c r="M292" s="20">
        <f>G292*INDEX(Employees!$E$2:$E$17,MATCH(B292,Employees!$A$2:$A$17,0))</f>
        <v>139.39999999999998</v>
      </c>
    </row>
    <row r="293" spans="1:13" ht="18" x14ac:dyDescent="0.2">
      <c r="A293" s="17">
        <v>1179</v>
      </c>
      <c r="B293" s="17">
        <v>20</v>
      </c>
      <c r="C293" s="17" t="s">
        <v>295</v>
      </c>
      <c r="D293" s="17" t="s">
        <v>793</v>
      </c>
      <c r="E293" s="17" t="s">
        <v>792</v>
      </c>
      <c r="F293" s="17">
        <v>442</v>
      </c>
      <c r="G293" s="17">
        <v>7.4</v>
      </c>
      <c r="H293" s="17" t="str">
        <f>INDEX(Employees!$B$2:$B$17,MATCH(B293,Employees!$A$2:$A$17,0))</f>
        <v>Taylor</v>
      </c>
      <c r="I293" s="17" t="str">
        <f>INDEX(Employees!$C$2:$C$17,MATCH(B293,Employees!$A$2:$A$17,0))</f>
        <v>Picker</v>
      </c>
      <c r="J293" s="25">
        <f t="shared" si="8"/>
        <v>59.729729729729726</v>
      </c>
      <c r="K293" s="19">
        <f>IF(J293=0,0,J293/INDEX('Labor Dashboard'!$C$36:$C$39,MATCH(E293,'Labor Dashboard'!$B$36:$B$39,0)))</f>
        <v>1.085995085995086</v>
      </c>
      <c r="L293" s="18">
        <f t="shared" si="9"/>
        <v>4</v>
      </c>
      <c r="M293" s="20">
        <f>G293*INDEX(Employees!$E$2:$E$17,MATCH(B293,Employees!$A$2:$A$17,0))</f>
        <v>125.80000000000001</v>
      </c>
    </row>
    <row r="294" spans="1:13" ht="18" x14ac:dyDescent="0.2">
      <c r="A294" s="17">
        <v>1180</v>
      </c>
      <c r="B294" s="17">
        <v>21</v>
      </c>
      <c r="C294" s="17" t="s">
        <v>295</v>
      </c>
      <c r="D294" s="17" t="s">
        <v>791</v>
      </c>
      <c r="E294" s="17" t="s">
        <v>794</v>
      </c>
      <c r="F294" s="17">
        <v>312</v>
      </c>
      <c r="G294" s="17">
        <v>7.4</v>
      </c>
      <c r="H294" s="17" t="str">
        <f>INDEX(Employees!$B$2:$B$17,MATCH(B294,Employees!$A$2:$A$17,0))</f>
        <v>Riley</v>
      </c>
      <c r="I294" s="17" t="str">
        <f>INDEX(Employees!$C$2:$C$17,MATCH(B294,Employees!$A$2:$A$17,0))</f>
        <v>Packer</v>
      </c>
      <c r="J294" s="25">
        <f t="shared" si="8"/>
        <v>42.162162162162161</v>
      </c>
      <c r="K294" s="19">
        <f>IF(J294=0,0,J294/INDEX('Labor Dashboard'!$C$36:$C$39,MATCH(E294,'Labor Dashboard'!$B$36:$B$39,0)))</f>
        <v>0.93693693693693691</v>
      </c>
      <c r="L294" s="18">
        <f t="shared" si="9"/>
        <v>4</v>
      </c>
      <c r="M294" s="20">
        <f>G294*INDEX(Employees!$E$2:$E$17,MATCH(B294,Employees!$A$2:$A$17,0))</f>
        <v>125.80000000000001</v>
      </c>
    </row>
    <row r="295" spans="1:13" ht="18" x14ac:dyDescent="0.2">
      <c r="A295" s="17">
        <v>1181</v>
      </c>
      <c r="B295" s="17">
        <v>22</v>
      </c>
      <c r="C295" s="17" t="s">
        <v>295</v>
      </c>
      <c r="D295" s="17" t="s">
        <v>791</v>
      </c>
      <c r="E295" s="17" t="s">
        <v>794</v>
      </c>
      <c r="F295" s="17">
        <v>370</v>
      </c>
      <c r="G295" s="17">
        <v>7.5</v>
      </c>
      <c r="H295" s="17" t="str">
        <f>INDEX(Employees!$B$2:$B$17,MATCH(B295,Employees!$A$2:$A$17,0))</f>
        <v>Avery</v>
      </c>
      <c r="I295" s="17" t="str">
        <f>INDEX(Employees!$C$2:$C$17,MATCH(B295,Employees!$A$2:$A$17,0))</f>
        <v>Packer</v>
      </c>
      <c r="J295" s="25">
        <f t="shared" si="8"/>
        <v>49.333333333333336</v>
      </c>
      <c r="K295" s="19">
        <f>IF(J295=0,0,J295/INDEX('Labor Dashboard'!$C$36:$C$39,MATCH(E295,'Labor Dashboard'!$B$36:$B$39,0)))</f>
        <v>1.0962962962962963</v>
      </c>
      <c r="L295" s="18">
        <f t="shared" si="9"/>
        <v>4</v>
      </c>
      <c r="M295" s="20">
        <f>G295*INDEX(Employees!$E$2:$E$17,MATCH(B295,Employees!$A$2:$A$17,0))</f>
        <v>127.5</v>
      </c>
    </row>
    <row r="296" spans="1:13" ht="18" x14ac:dyDescent="0.2">
      <c r="A296" s="17">
        <v>1182</v>
      </c>
      <c r="B296" s="17">
        <v>24</v>
      </c>
      <c r="C296" s="17" t="s">
        <v>295</v>
      </c>
      <c r="D296" s="17" t="s">
        <v>791</v>
      </c>
      <c r="E296" s="17" t="s">
        <v>792</v>
      </c>
      <c r="F296" s="17">
        <v>424</v>
      </c>
      <c r="G296" s="17">
        <v>7.8</v>
      </c>
      <c r="H296" s="17" t="str">
        <f>INDEX(Employees!$B$2:$B$17,MATCH(B296,Employees!$A$2:$A$17,0))</f>
        <v>Dakota</v>
      </c>
      <c r="I296" s="17" t="str">
        <f>INDEX(Employees!$C$2:$C$17,MATCH(B296,Employees!$A$2:$A$17,0))</f>
        <v>Forklift Operator</v>
      </c>
      <c r="J296" s="25">
        <f t="shared" si="8"/>
        <v>54.358974358974358</v>
      </c>
      <c r="K296" s="19">
        <f>IF(J296=0,0,J296/INDEX('Labor Dashboard'!$C$36:$C$39,MATCH(E296,'Labor Dashboard'!$B$36:$B$39,0)))</f>
        <v>0.9883449883449883</v>
      </c>
      <c r="L296" s="18">
        <f t="shared" si="9"/>
        <v>4</v>
      </c>
      <c r="M296" s="20">
        <f>G296*INDEX(Employees!$E$2:$E$17,MATCH(B296,Employees!$A$2:$A$17,0))</f>
        <v>152.1</v>
      </c>
    </row>
    <row r="297" spans="1:13" ht="18" x14ac:dyDescent="0.2">
      <c r="A297" s="17">
        <v>1183</v>
      </c>
      <c r="B297" s="17">
        <v>27</v>
      </c>
      <c r="C297" s="17" t="s">
        <v>295</v>
      </c>
      <c r="D297" s="17" t="s">
        <v>791</v>
      </c>
      <c r="E297" s="17" t="s">
        <v>795</v>
      </c>
      <c r="F297" s="17">
        <v>169</v>
      </c>
      <c r="G297" s="17">
        <v>6.7</v>
      </c>
      <c r="H297" s="17" t="str">
        <f>INDEX(Employees!$B$2:$B$17,MATCH(B297,Employees!$A$2:$A$17,0))</f>
        <v>Skyler</v>
      </c>
      <c r="I297" s="17" t="str">
        <f>INDEX(Employees!$C$2:$C$17,MATCH(B297,Employees!$A$2:$A$17,0))</f>
        <v>Receiving Clerk</v>
      </c>
      <c r="J297" s="25">
        <f t="shared" si="8"/>
        <v>25.223880597014926</v>
      </c>
      <c r="K297" s="19">
        <f>IF(J297=0,0,J297/INDEX('Labor Dashboard'!$C$36:$C$39,MATCH(E297,'Labor Dashboard'!$B$36:$B$39,0)))</f>
        <v>0.84079601990049757</v>
      </c>
      <c r="L297" s="18">
        <f t="shared" si="9"/>
        <v>4</v>
      </c>
      <c r="M297" s="20">
        <f>G297*INDEX(Employees!$E$2:$E$17,MATCH(B297,Employees!$A$2:$A$17,0))</f>
        <v>120.60000000000001</v>
      </c>
    </row>
    <row r="298" spans="1:13" ht="18" x14ac:dyDescent="0.2">
      <c r="A298" s="17">
        <v>1184</v>
      </c>
      <c r="B298" s="17">
        <v>28</v>
      </c>
      <c r="C298" s="17" t="s">
        <v>295</v>
      </c>
      <c r="D298" s="17" t="s">
        <v>791</v>
      </c>
      <c r="E298" s="17" t="s">
        <v>796</v>
      </c>
      <c r="F298" s="17">
        <v>186</v>
      </c>
      <c r="G298" s="17">
        <v>8</v>
      </c>
      <c r="H298" s="17" t="str">
        <f>INDEX(Employees!$B$2:$B$17,MATCH(B298,Employees!$A$2:$A$17,0))</f>
        <v>Peyton</v>
      </c>
      <c r="I298" s="17" t="str">
        <f>INDEX(Employees!$C$2:$C$17,MATCH(B298,Employees!$A$2:$A$17,0))</f>
        <v>Cycle Counter</v>
      </c>
      <c r="J298" s="25">
        <f t="shared" si="8"/>
        <v>23.25</v>
      </c>
      <c r="K298" s="19">
        <f>IF(J298=0,0,J298/INDEX('Labor Dashboard'!$C$36:$C$39,MATCH(E298,'Labor Dashboard'!$B$36:$B$39,0)))</f>
        <v>0.93</v>
      </c>
      <c r="L298" s="18">
        <f t="shared" si="9"/>
        <v>4</v>
      </c>
      <c r="M298" s="20">
        <f>G298*INDEX(Employees!$E$2:$E$17,MATCH(B298,Employees!$A$2:$A$17,0))</f>
        <v>144</v>
      </c>
    </row>
    <row r="299" spans="1:13" ht="18" x14ac:dyDescent="0.2">
      <c r="A299" s="17">
        <v>1185</v>
      </c>
      <c r="B299" s="17">
        <v>29</v>
      </c>
      <c r="C299" s="17" t="s">
        <v>295</v>
      </c>
      <c r="D299" s="17" t="s">
        <v>791</v>
      </c>
      <c r="E299" s="17" t="s">
        <v>796</v>
      </c>
      <c r="F299" s="17">
        <v>191</v>
      </c>
      <c r="G299" s="17">
        <v>6.8</v>
      </c>
      <c r="H299" s="17" t="str">
        <f>INDEX(Employees!$B$2:$B$17,MATCH(B299,Employees!$A$2:$A$17,0))</f>
        <v>Rowan</v>
      </c>
      <c r="I299" s="17" t="str">
        <f>INDEX(Employees!$C$2:$C$17,MATCH(B299,Employees!$A$2:$A$17,0))</f>
        <v>Cycle Counter</v>
      </c>
      <c r="J299" s="25">
        <f t="shared" si="8"/>
        <v>28.088235294117649</v>
      </c>
      <c r="K299" s="19">
        <f>IF(J299=0,0,J299/INDEX('Labor Dashboard'!$C$36:$C$39,MATCH(E299,'Labor Dashboard'!$B$36:$B$39,0)))</f>
        <v>1.1235294117647059</v>
      </c>
      <c r="L299" s="18">
        <f t="shared" si="9"/>
        <v>4</v>
      </c>
      <c r="M299" s="20">
        <f>G299*INDEX(Employees!$E$2:$E$17,MATCH(B299,Employees!$A$2:$A$17,0))</f>
        <v>122.39999999999999</v>
      </c>
    </row>
    <row r="300" spans="1:13" ht="18" x14ac:dyDescent="0.2">
      <c r="A300" s="17">
        <v>1186</v>
      </c>
      <c r="B300" s="17">
        <v>31</v>
      </c>
      <c r="C300" s="17" t="s">
        <v>295</v>
      </c>
      <c r="D300" s="17" t="s">
        <v>791</v>
      </c>
      <c r="E300" s="17" t="s">
        <v>795</v>
      </c>
      <c r="F300" s="17">
        <v>205</v>
      </c>
      <c r="G300" s="17">
        <v>6.7</v>
      </c>
      <c r="H300" s="17" t="str">
        <f>INDEX(Employees!$B$2:$B$17,MATCH(B300,Employees!$A$2:$A$17,0))</f>
        <v>Finley</v>
      </c>
      <c r="I300" s="17" t="str">
        <f>INDEX(Employees!$C$2:$C$17,MATCH(B300,Employees!$A$2:$A$17,0))</f>
        <v>Shift Supervisor</v>
      </c>
      <c r="J300" s="25">
        <f t="shared" si="8"/>
        <v>30.597014925373134</v>
      </c>
      <c r="K300" s="19">
        <f>IF(J300=0,0,J300/INDEX('Labor Dashboard'!$C$36:$C$39,MATCH(E300,'Labor Dashboard'!$B$36:$B$39,0)))</f>
        <v>1.0199004975124377</v>
      </c>
      <c r="L300" s="18">
        <f t="shared" si="9"/>
        <v>4</v>
      </c>
      <c r="M300" s="20">
        <f>G300*INDEX(Employees!$E$2:$E$17,MATCH(B300,Employees!$A$2:$A$17,0))</f>
        <v>160.80000000000001</v>
      </c>
    </row>
    <row r="301" spans="1:13" ht="18" x14ac:dyDescent="0.2">
      <c r="A301" s="17">
        <v>1187</v>
      </c>
      <c r="B301" s="17">
        <v>32</v>
      </c>
      <c r="C301" s="17" t="s">
        <v>295</v>
      </c>
      <c r="D301" s="17" t="s">
        <v>793</v>
      </c>
      <c r="E301" s="17" t="s">
        <v>792</v>
      </c>
      <c r="F301" s="17">
        <v>379</v>
      </c>
      <c r="G301" s="17">
        <v>8.1999999999999993</v>
      </c>
      <c r="H301" s="17" t="str">
        <f>INDEX(Employees!$B$2:$B$17,MATCH(B301,Employees!$A$2:$A$17,0))</f>
        <v>Sawyer</v>
      </c>
      <c r="I301" s="17" t="str">
        <f>INDEX(Employees!$C$2:$C$17,MATCH(B301,Employees!$A$2:$A$17,0))</f>
        <v>Shift Supervisor</v>
      </c>
      <c r="J301" s="25">
        <f t="shared" si="8"/>
        <v>46.219512195121958</v>
      </c>
      <c r="K301" s="19">
        <f>IF(J301=0,0,J301/INDEX('Labor Dashboard'!$C$36:$C$39,MATCH(E301,'Labor Dashboard'!$B$36:$B$39,0)))</f>
        <v>0.84035476718403557</v>
      </c>
      <c r="L301" s="18">
        <f t="shared" si="9"/>
        <v>4</v>
      </c>
      <c r="M301" s="20">
        <f>G301*INDEX(Employees!$E$2:$E$17,MATCH(B301,Employees!$A$2:$A$17,0))</f>
        <v>196.79999999999998</v>
      </c>
    </row>
    <row r="302" spans="1:13" ht="18" x14ac:dyDescent="0.2">
      <c r="A302" s="17">
        <v>1188</v>
      </c>
      <c r="B302" s="17">
        <v>18</v>
      </c>
      <c r="C302" s="17" t="s">
        <v>311</v>
      </c>
      <c r="D302" s="17" t="s">
        <v>793</v>
      </c>
      <c r="E302" s="17" t="s">
        <v>792</v>
      </c>
      <c r="F302" s="17">
        <v>429</v>
      </c>
      <c r="G302" s="17">
        <v>7.9</v>
      </c>
      <c r="H302" s="17" t="str">
        <f>INDEX(Employees!$B$2:$B$17,MATCH(B302,Employees!$A$2:$A$17,0))</f>
        <v>Casey</v>
      </c>
      <c r="I302" s="17" t="str">
        <f>INDEX(Employees!$C$2:$C$17,MATCH(B302,Employees!$A$2:$A$17,0))</f>
        <v>Picker</v>
      </c>
      <c r="J302" s="25">
        <f t="shared" si="8"/>
        <v>54.303797468354425</v>
      </c>
      <c r="K302" s="19">
        <f>IF(J302=0,0,J302/INDEX('Labor Dashboard'!$C$36:$C$39,MATCH(E302,'Labor Dashboard'!$B$36:$B$39,0)))</f>
        <v>0.98734177215189867</v>
      </c>
      <c r="L302" s="18">
        <f t="shared" si="9"/>
        <v>4</v>
      </c>
      <c r="M302" s="20">
        <f>G302*INDEX(Employees!$E$2:$E$17,MATCH(B302,Employees!$A$2:$A$17,0))</f>
        <v>134.30000000000001</v>
      </c>
    </row>
    <row r="303" spans="1:13" ht="18" x14ac:dyDescent="0.2">
      <c r="A303" s="17">
        <v>1189</v>
      </c>
      <c r="B303" s="17">
        <v>20</v>
      </c>
      <c r="C303" s="17" t="s">
        <v>311</v>
      </c>
      <c r="D303" s="17" t="s">
        <v>793</v>
      </c>
      <c r="E303" s="17" t="s">
        <v>792</v>
      </c>
      <c r="F303" s="17">
        <v>382</v>
      </c>
      <c r="G303" s="17">
        <v>6.9</v>
      </c>
      <c r="H303" s="17" t="str">
        <f>INDEX(Employees!$B$2:$B$17,MATCH(B303,Employees!$A$2:$A$17,0))</f>
        <v>Taylor</v>
      </c>
      <c r="I303" s="17" t="str">
        <f>INDEX(Employees!$C$2:$C$17,MATCH(B303,Employees!$A$2:$A$17,0))</f>
        <v>Picker</v>
      </c>
      <c r="J303" s="25">
        <f t="shared" si="8"/>
        <v>55.362318840579704</v>
      </c>
      <c r="K303" s="19">
        <f>IF(J303=0,0,J303/INDEX('Labor Dashboard'!$C$36:$C$39,MATCH(E303,'Labor Dashboard'!$B$36:$B$39,0)))</f>
        <v>1.0065876152832673</v>
      </c>
      <c r="L303" s="18">
        <f t="shared" si="9"/>
        <v>4</v>
      </c>
      <c r="M303" s="20">
        <f>G303*INDEX(Employees!$E$2:$E$17,MATCH(B303,Employees!$A$2:$A$17,0))</f>
        <v>117.30000000000001</v>
      </c>
    </row>
    <row r="304" spans="1:13" ht="18" x14ac:dyDescent="0.2">
      <c r="A304" s="17">
        <v>1190</v>
      </c>
      <c r="B304" s="17">
        <v>21</v>
      </c>
      <c r="C304" s="17" t="s">
        <v>311</v>
      </c>
      <c r="D304" s="17" t="s">
        <v>791</v>
      </c>
      <c r="E304" s="17" t="s">
        <v>794</v>
      </c>
      <c r="F304" s="17">
        <v>321</v>
      </c>
      <c r="G304" s="17">
        <v>8.5</v>
      </c>
      <c r="H304" s="17" t="str">
        <f>INDEX(Employees!$B$2:$B$17,MATCH(B304,Employees!$A$2:$A$17,0))</f>
        <v>Riley</v>
      </c>
      <c r="I304" s="17" t="str">
        <f>INDEX(Employees!$C$2:$C$17,MATCH(B304,Employees!$A$2:$A$17,0))</f>
        <v>Packer</v>
      </c>
      <c r="J304" s="25">
        <f t="shared" si="8"/>
        <v>37.764705882352942</v>
      </c>
      <c r="K304" s="19">
        <f>IF(J304=0,0,J304/INDEX('Labor Dashboard'!$C$36:$C$39,MATCH(E304,'Labor Dashboard'!$B$36:$B$39,0)))</f>
        <v>0.83921568627450982</v>
      </c>
      <c r="L304" s="18">
        <f t="shared" si="9"/>
        <v>4</v>
      </c>
      <c r="M304" s="20">
        <f>G304*INDEX(Employees!$E$2:$E$17,MATCH(B304,Employees!$A$2:$A$17,0))</f>
        <v>144.5</v>
      </c>
    </row>
    <row r="305" spans="1:13" ht="18" x14ac:dyDescent="0.2">
      <c r="A305" s="17">
        <v>1191</v>
      </c>
      <c r="B305" s="17">
        <v>22</v>
      </c>
      <c r="C305" s="17" t="s">
        <v>311</v>
      </c>
      <c r="D305" s="17" t="s">
        <v>791</v>
      </c>
      <c r="E305" s="17" t="s">
        <v>794</v>
      </c>
      <c r="F305" s="17">
        <v>401</v>
      </c>
      <c r="G305" s="17">
        <v>8.3000000000000007</v>
      </c>
      <c r="H305" s="17" t="str">
        <f>INDEX(Employees!$B$2:$B$17,MATCH(B305,Employees!$A$2:$A$17,0))</f>
        <v>Avery</v>
      </c>
      <c r="I305" s="17" t="str">
        <f>INDEX(Employees!$C$2:$C$17,MATCH(B305,Employees!$A$2:$A$17,0))</f>
        <v>Packer</v>
      </c>
      <c r="J305" s="25">
        <f t="shared" si="8"/>
        <v>48.313253012048186</v>
      </c>
      <c r="K305" s="19">
        <f>IF(J305=0,0,J305/INDEX('Labor Dashboard'!$C$36:$C$39,MATCH(E305,'Labor Dashboard'!$B$36:$B$39,0)))</f>
        <v>1.0736278447121819</v>
      </c>
      <c r="L305" s="18">
        <f t="shared" si="9"/>
        <v>4</v>
      </c>
      <c r="M305" s="20">
        <f>G305*INDEX(Employees!$E$2:$E$17,MATCH(B305,Employees!$A$2:$A$17,0))</f>
        <v>141.10000000000002</v>
      </c>
    </row>
    <row r="306" spans="1:13" ht="18" x14ac:dyDescent="0.2">
      <c r="A306" s="17">
        <v>1192</v>
      </c>
      <c r="B306" s="17">
        <v>23</v>
      </c>
      <c r="C306" s="17" t="s">
        <v>311</v>
      </c>
      <c r="D306" s="17" t="s">
        <v>793</v>
      </c>
      <c r="E306" s="17" t="s">
        <v>794</v>
      </c>
      <c r="F306" s="17">
        <v>341</v>
      </c>
      <c r="G306" s="17">
        <v>7</v>
      </c>
      <c r="H306" s="17" t="str">
        <f>INDEX(Employees!$B$2:$B$17,MATCH(B306,Employees!$A$2:$A$17,0))</f>
        <v>Cameron</v>
      </c>
      <c r="I306" s="17" t="str">
        <f>INDEX(Employees!$C$2:$C$17,MATCH(B306,Employees!$A$2:$A$17,0))</f>
        <v>Packer</v>
      </c>
      <c r="J306" s="25">
        <f t="shared" si="8"/>
        <v>48.714285714285715</v>
      </c>
      <c r="K306" s="19">
        <f>IF(J306=0,0,J306/INDEX('Labor Dashboard'!$C$36:$C$39,MATCH(E306,'Labor Dashboard'!$B$36:$B$39,0)))</f>
        <v>1.0825396825396825</v>
      </c>
      <c r="L306" s="18">
        <f t="shared" si="9"/>
        <v>4</v>
      </c>
      <c r="M306" s="20">
        <f>G306*INDEX(Employees!$E$2:$E$17,MATCH(B306,Employees!$A$2:$A$17,0))</f>
        <v>119</v>
      </c>
    </row>
    <row r="307" spans="1:13" ht="18" x14ac:dyDescent="0.2">
      <c r="A307" s="17">
        <v>1193</v>
      </c>
      <c r="B307" s="17">
        <v>24</v>
      </c>
      <c r="C307" s="17" t="s">
        <v>311</v>
      </c>
      <c r="D307" s="17" t="s">
        <v>791</v>
      </c>
      <c r="E307" s="17" t="s">
        <v>792</v>
      </c>
      <c r="F307" s="17">
        <v>391</v>
      </c>
      <c r="G307" s="17">
        <v>7.7</v>
      </c>
      <c r="H307" s="17" t="str">
        <f>INDEX(Employees!$B$2:$B$17,MATCH(B307,Employees!$A$2:$A$17,0))</f>
        <v>Dakota</v>
      </c>
      <c r="I307" s="17" t="str">
        <f>INDEX(Employees!$C$2:$C$17,MATCH(B307,Employees!$A$2:$A$17,0))</f>
        <v>Forklift Operator</v>
      </c>
      <c r="J307" s="25">
        <f t="shared" si="8"/>
        <v>50.779220779220779</v>
      </c>
      <c r="K307" s="19">
        <f>IF(J307=0,0,J307/INDEX('Labor Dashboard'!$C$36:$C$39,MATCH(E307,'Labor Dashboard'!$B$36:$B$39,0)))</f>
        <v>0.92325855962219594</v>
      </c>
      <c r="L307" s="18">
        <f t="shared" si="9"/>
        <v>4</v>
      </c>
      <c r="M307" s="20">
        <f>G307*INDEX(Employees!$E$2:$E$17,MATCH(B307,Employees!$A$2:$A$17,0))</f>
        <v>150.15</v>
      </c>
    </row>
    <row r="308" spans="1:13" ht="18" x14ac:dyDescent="0.2">
      <c r="A308" s="17">
        <v>1194</v>
      </c>
      <c r="B308" s="17">
        <v>25</v>
      </c>
      <c r="C308" s="17" t="s">
        <v>311</v>
      </c>
      <c r="D308" s="17" t="s">
        <v>793</v>
      </c>
      <c r="E308" s="17" t="s">
        <v>792</v>
      </c>
      <c r="F308" s="17">
        <v>375</v>
      </c>
      <c r="G308" s="17">
        <v>7.2</v>
      </c>
      <c r="H308" s="17" t="str">
        <f>INDEX(Employees!$B$2:$B$17,MATCH(B308,Employees!$A$2:$A$17,0))</f>
        <v>Hayden</v>
      </c>
      <c r="I308" s="17" t="str">
        <f>INDEX(Employees!$C$2:$C$17,MATCH(B308,Employees!$A$2:$A$17,0))</f>
        <v>Forklift Operator</v>
      </c>
      <c r="J308" s="25">
        <f t="shared" si="8"/>
        <v>52.083333333333329</v>
      </c>
      <c r="K308" s="19">
        <f>IF(J308=0,0,J308/INDEX('Labor Dashboard'!$C$36:$C$39,MATCH(E308,'Labor Dashboard'!$B$36:$B$39,0)))</f>
        <v>0.94696969696969691</v>
      </c>
      <c r="L308" s="18">
        <f t="shared" si="9"/>
        <v>4</v>
      </c>
      <c r="M308" s="20">
        <f>G308*INDEX(Employees!$E$2:$E$17,MATCH(B308,Employees!$A$2:$A$17,0))</f>
        <v>140.4</v>
      </c>
    </row>
    <row r="309" spans="1:13" ht="18" x14ac:dyDescent="0.2">
      <c r="A309" s="17">
        <v>1195</v>
      </c>
      <c r="B309" s="17">
        <v>26</v>
      </c>
      <c r="C309" s="17" t="s">
        <v>311</v>
      </c>
      <c r="D309" s="17" t="s">
        <v>791</v>
      </c>
      <c r="E309" s="17" t="s">
        <v>795</v>
      </c>
      <c r="F309" s="17">
        <v>176</v>
      </c>
      <c r="G309" s="17">
        <v>7.1</v>
      </c>
      <c r="H309" s="17" t="str">
        <f>INDEX(Employees!$B$2:$B$17,MATCH(B309,Employees!$A$2:$A$17,0))</f>
        <v>Reese</v>
      </c>
      <c r="I309" s="17" t="str">
        <f>INDEX(Employees!$C$2:$C$17,MATCH(B309,Employees!$A$2:$A$17,0))</f>
        <v>Receiving Clerk</v>
      </c>
      <c r="J309" s="25">
        <f t="shared" si="8"/>
        <v>24.7887323943662</v>
      </c>
      <c r="K309" s="19">
        <f>IF(J309=0,0,J309/INDEX('Labor Dashboard'!$C$36:$C$39,MATCH(E309,'Labor Dashboard'!$B$36:$B$39,0)))</f>
        <v>0.82629107981220662</v>
      </c>
      <c r="L309" s="18">
        <f t="shared" si="9"/>
        <v>4</v>
      </c>
      <c r="M309" s="20">
        <f>G309*INDEX(Employees!$E$2:$E$17,MATCH(B309,Employees!$A$2:$A$17,0))</f>
        <v>127.8</v>
      </c>
    </row>
    <row r="310" spans="1:13" ht="18" x14ac:dyDescent="0.2">
      <c r="A310" s="17">
        <v>1196</v>
      </c>
      <c r="B310" s="17">
        <v>27</v>
      </c>
      <c r="C310" s="17" t="s">
        <v>311</v>
      </c>
      <c r="D310" s="17" t="s">
        <v>793</v>
      </c>
      <c r="E310" s="17" t="s">
        <v>795</v>
      </c>
      <c r="F310" s="17">
        <v>208</v>
      </c>
      <c r="G310" s="17">
        <v>7.8</v>
      </c>
      <c r="H310" s="17" t="str">
        <f>INDEX(Employees!$B$2:$B$17,MATCH(B310,Employees!$A$2:$A$17,0))</f>
        <v>Skyler</v>
      </c>
      <c r="I310" s="17" t="str">
        <f>INDEX(Employees!$C$2:$C$17,MATCH(B310,Employees!$A$2:$A$17,0))</f>
        <v>Receiving Clerk</v>
      </c>
      <c r="J310" s="25">
        <f t="shared" si="8"/>
        <v>26.666666666666668</v>
      </c>
      <c r="K310" s="19">
        <f>IF(J310=0,0,J310/INDEX('Labor Dashboard'!$C$36:$C$39,MATCH(E310,'Labor Dashboard'!$B$36:$B$39,0)))</f>
        <v>0.88888888888888895</v>
      </c>
      <c r="L310" s="18">
        <f t="shared" si="9"/>
        <v>4</v>
      </c>
      <c r="M310" s="20">
        <f>G310*INDEX(Employees!$E$2:$E$17,MATCH(B310,Employees!$A$2:$A$17,0))</f>
        <v>140.4</v>
      </c>
    </row>
    <row r="311" spans="1:13" ht="18" x14ac:dyDescent="0.2">
      <c r="A311" s="17">
        <v>1197</v>
      </c>
      <c r="B311" s="17">
        <v>28</v>
      </c>
      <c r="C311" s="17" t="s">
        <v>311</v>
      </c>
      <c r="D311" s="17" t="s">
        <v>793</v>
      </c>
      <c r="E311" s="17" t="s">
        <v>796</v>
      </c>
      <c r="F311" s="17">
        <v>188</v>
      </c>
      <c r="G311" s="17">
        <v>7.7</v>
      </c>
      <c r="H311" s="17" t="str">
        <f>INDEX(Employees!$B$2:$B$17,MATCH(B311,Employees!$A$2:$A$17,0))</f>
        <v>Peyton</v>
      </c>
      <c r="I311" s="17" t="str">
        <f>INDEX(Employees!$C$2:$C$17,MATCH(B311,Employees!$A$2:$A$17,0))</f>
        <v>Cycle Counter</v>
      </c>
      <c r="J311" s="25">
        <f t="shared" si="8"/>
        <v>24.415584415584416</v>
      </c>
      <c r="K311" s="19">
        <f>IF(J311=0,0,J311/INDEX('Labor Dashboard'!$C$36:$C$39,MATCH(E311,'Labor Dashboard'!$B$36:$B$39,0)))</f>
        <v>0.97662337662337662</v>
      </c>
      <c r="L311" s="18">
        <f t="shared" si="9"/>
        <v>4</v>
      </c>
      <c r="M311" s="20">
        <f>G311*INDEX(Employees!$E$2:$E$17,MATCH(B311,Employees!$A$2:$A$17,0))</f>
        <v>138.6</v>
      </c>
    </row>
    <row r="312" spans="1:13" ht="18" x14ac:dyDescent="0.2">
      <c r="A312" s="17">
        <v>1198</v>
      </c>
      <c r="B312" s="17">
        <v>29</v>
      </c>
      <c r="C312" s="17" t="s">
        <v>311</v>
      </c>
      <c r="D312" s="17" t="s">
        <v>791</v>
      </c>
      <c r="E312" s="17" t="s">
        <v>796</v>
      </c>
      <c r="F312" s="17">
        <v>180</v>
      </c>
      <c r="G312" s="17">
        <v>6.8</v>
      </c>
      <c r="H312" s="17" t="str">
        <f>INDEX(Employees!$B$2:$B$17,MATCH(B312,Employees!$A$2:$A$17,0))</f>
        <v>Rowan</v>
      </c>
      <c r="I312" s="17" t="str">
        <f>INDEX(Employees!$C$2:$C$17,MATCH(B312,Employees!$A$2:$A$17,0))</f>
        <v>Cycle Counter</v>
      </c>
      <c r="J312" s="25">
        <f t="shared" si="8"/>
        <v>26.47058823529412</v>
      </c>
      <c r="K312" s="19">
        <f>IF(J312=0,0,J312/INDEX('Labor Dashboard'!$C$36:$C$39,MATCH(E312,'Labor Dashboard'!$B$36:$B$39,0)))</f>
        <v>1.0588235294117647</v>
      </c>
      <c r="L312" s="18">
        <f t="shared" si="9"/>
        <v>4</v>
      </c>
      <c r="M312" s="20">
        <f>G312*INDEX(Employees!$E$2:$E$17,MATCH(B312,Employees!$A$2:$A$17,0))</f>
        <v>122.39999999999999</v>
      </c>
    </row>
    <row r="313" spans="1:13" ht="18" x14ac:dyDescent="0.2">
      <c r="A313" s="17">
        <v>1199</v>
      </c>
      <c r="B313" s="17">
        <v>30</v>
      </c>
      <c r="C313" s="17" t="s">
        <v>311</v>
      </c>
      <c r="D313" s="17" t="s">
        <v>793</v>
      </c>
      <c r="E313" s="17" t="s">
        <v>794</v>
      </c>
      <c r="F313" s="17">
        <v>309</v>
      </c>
      <c r="G313" s="17">
        <v>8.3000000000000007</v>
      </c>
      <c r="H313" s="17" t="str">
        <f>INDEX(Employees!$B$2:$B$17,MATCH(B313,Employees!$A$2:$A$17,0))</f>
        <v>Emerson</v>
      </c>
      <c r="I313" s="17" t="str">
        <f>INDEX(Employees!$C$2:$C$17,MATCH(B313,Employees!$A$2:$A$17,0))</f>
        <v>Shift Supervisor</v>
      </c>
      <c r="J313" s="25">
        <f t="shared" si="8"/>
        <v>37.2289156626506</v>
      </c>
      <c r="K313" s="19">
        <f>IF(J313=0,0,J313/INDEX('Labor Dashboard'!$C$36:$C$39,MATCH(E313,'Labor Dashboard'!$B$36:$B$39,0)))</f>
        <v>0.82730923694779113</v>
      </c>
      <c r="L313" s="18">
        <f t="shared" si="9"/>
        <v>4</v>
      </c>
      <c r="M313" s="20">
        <f>G313*INDEX(Employees!$E$2:$E$17,MATCH(B313,Employees!$A$2:$A$17,0))</f>
        <v>199.20000000000002</v>
      </c>
    </row>
    <row r="314" spans="1:13" ht="18" x14ac:dyDescent="0.2">
      <c r="A314" s="17">
        <v>1200</v>
      </c>
      <c r="B314" s="17">
        <v>32</v>
      </c>
      <c r="C314" s="17" t="s">
        <v>311</v>
      </c>
      <c r="D314" s="17" t="s">
        <v>791</v>
      </c>
      <c r="E314" s="17" t="s">
        <v>795</v>
      </c>
      <c r="F314" s="17">
        <v>208</v>
      </c>
      <c r="G314" s="17">
        <v>7.8</v>
      </c>
      <c r="H314" s="17" t="str">
        <f>INDEX(Employees!$B$2:$B$17,MATCH(B314,Employees!$A$2:$A$17,0))</f>
        <v>Sawyer</v>
      </c>
      <c r="I314" s="17" t="str">
        <f>INDEX(Employees!$C$2:$C$17,MATCH(B314,Employees!$A$2:$A$17,0))</f>
        <v>Shift Supervisor</v>
      </c>
      <c r="J314" s="25">
        <f t="shared" si="8"/>
        <v>26.666666666666668</v>
      </c>
      <c r="K314" s="19">
        <f>IF(J314=0,0,J314/INDEX('Labor Dashboard'!$C$36:$C$39,MATCH(E314,'Labor Dashboard'!$B$36:$B$39,0)))</f>
        <v>0.88888888888888895</v>
      </c>
      <c r="L314" s="18">
        <f t="shared" si="9"/>
        <v>4</v>
      </c>
      <c r="M314" s="20">
        <f>G314*INDEX(Employees!$E$2:$E$17,MATCH(B314,Employees!$A$2:$A$17,0))</f>
        <v>187.2</v>
      </c>
    </row>
    <row r="315" spans="1:13" ht="18" x14ac:dyDescent="0.2">
      <c r="A315" s="17">
        <v>1201</v>
      </c>
      <c r="B315" s="17">
        <v>17</v>
      </c>
      <c r="C315" s="17" t="s">
        <v>360</v>
      </c>
      <c r="D315" s="17" t="s">
        <v>791</v>
      </c>
      <c r="E315" s="17" t="s">
        <v>792</v>
      </c>
      <c r="F315" s="17">
        <v>401</v>
      </c>
      <c r="G315" s="17">
        <v>8</v>
      </c>
      <c r="H315" s="17" t="str">
        <f>INDEX(Employees!$B$2:$B$17,MATCH(B315,Employees!$A$2:$A$17,0))</f>
        <v>Jordan</v>
      </c>
      <c r="I315" s="17" t="str">
        <f>INDEX(Employees!$C$2:$C$17,MATCH(B315,Employees!$A$2:$A$17,0))</f>
        <v>Picker</v>
      </c>
      <c r="J315" s="25">
        <f t="shared" si="8"/>
        <v>50.125</v>
      </c>
      <c r="K315" s="19">
        <f>IF(J315=0,0,J315/INDEX('Labor Dashboard'!$C$36:$C$39,MATCH(E315,'Labor Dashboard'!$B$36:$B$39,0)))</f>
        <v>0.91136363636363638</v>
      </c>
      <c r="L315" s="18">
        <f t="shared" si="9"/>
        <v>4</v>
      </c>
      <c r="M315" s="20">
        <f>G315*INDEX(Employees!$E$2:$E$17,MATCH(B315,Employees!$A$2:$A$17,0))</f>
        <v>136</v>
      </c>
    </row>
    <row r="316" spans="1:13" ht="18" x14ac:dyDescent="0.2">
      <c r="A316" s="17">
        <v>1202</v>
      </c>
      <c r="B316" s="17">
        <v>19</v>
      </c>
      <c r="C316" s="17" t="s">
        <v>360</v>
      </c>
      <c r="D316" s="17" t="s">
        <v>791</v>
      </c>
      <c r="E316" s="17" t="s">
        <v>792</v>
      </c>
      <c r="F316" s="17">
        <v>483</v>
      </c>
      <c r="G316" s="17">
        <v>7.7</v>
      </c>
      <c r="H316" s="17" t="str">
        <f>INDEX(Employees!$B$2:$B$17,MATCH(B316,Employees!$A$2:$A$17,0))</f>
        <v>Morgan</v>
      </c>
      <c r="I316" s="17" t="str">
        <f>INDEX(Employees!$C$2:$C$17,MATCH(B316,Employees!$A$2:$A$17,0))</f>
        <v>Picker</v>
      </c>
      <c r="J316" s="25">
        <f t="shared" si="8"/>
        <v>62.727272727272727</v>
      </c>
      <c r="K316" s="19">
        <f>IF(J316=0,0,J316/INDEX('Labor Dashboard'!$C$36:$C$39,MATCH(E316,'Labor Dashboard'!$B$36:$B$39,0)))</f>
        <v>1.140495867768595</v>
      </c>
      <c r="L316" s="18">
        <f t="shared" si="9"/>
        <v>4</v>
      </c>
      <c r="M316" s="20">
        <f>G316*INDEX(Employees!$E$2:$E$17,MATCH(B316,Employees!$A$2:$A$17,0))</f>
        <v>130.9</v>
      </c>
    </row>
    <row r="317" spans="1:13" ht="18" x14ac:dyDescent="0.2">
      <c r="A317" s="17">
        <v>1203</v>
      </c>
      <c r="B317" s="17">
        <v>20</v>
      </c>
      <c r="C317" s="17" t="s">
        <v>360</v>
      </c>
      <c r="D317" s="17" t="s">
        <v>793</v>
      </c>
      <c r="E317" s="17" t="s">
        <v>792</v>
      </c>
      <c r="F317" s="17">
        <v>409</v>
      </c>
      <c r="G317" s="17">
        <v>7.4</v>
      </c>
      <c r="H317" s="17" t="str">
        <f>INDEX(Employees!$B$2:$B$17,MATCH(B317,Employees!$A$2:$A$17,0))</f>
        <v>Taylor</v>
      </c>
      <c r="I317" s="17" t="str">
        <f>INDEX(Employees!$C$2:$C$17,MATCH(B317,Employees!$A$2:$A$17,0))</f>
        <v>Picker</v>
      </c>
      <c r="J317" s="25">
        <f t="shared" si="8"/>
        <v>55.270270270270267</v>
      </c>
      <c r="K317" s="19">
        <f>IF(J317=0,0,J317/INDEX('Labor Dashboard'!$C$36:$C$39,MATCH(E317,'Labor Dashboard'!$B$36:$B$39,0)))</f>
        <v>1.0049140049140048</v>
      </c>
      <c r="L317" s="18">
        <f t="shared" si="9"/>
        <v>4</v>
      </c>
      <c r="M317" s="20">
        <f>G317*INDEX(Employees!$E$2:$E$17,MATCH(B317,Employees!$A$2:$A$17,0))</f>
        <v>125.80000000000001</v>
      </c>
    </row>
    <row r="318" spans="1:13" ht="18" x14ac:dyDescent="0.2">
      <c r="A318" s="17">
        <v>1204</v>
      </c>
      <c r="B318" s="17">
        <v>21</v>
      </c>
      <c r="C318" s="17" t="s">
        <v>360</v>
      </c>
      <c r="D318" s="17" t="s">
        <v>791</v>
      </c>
      <c r="E318" s="17" t="s">
        <v>794</v>
      </c>
      <c r="F318" s="17">
        <v>292</v>
      </c>
      <c r="G318" s="17">
        <v>7.6</v>
      </c>
      <c r="H318" s="17" t="str">
        <f>INDEX(Employees!$B$2:$B$17,MATCH(B318,Employees!$A$2:$A$17,0))</f>
        <v>Riley</v>
      </c>
      <c r="I318" s="17" t="str">
        <f>INDEX(Employees!$C$2:$C$17,MATCH(B318,Employees!$A$2:$A$17,0))</f>
        <v>Packer</v>
      </c>
      <c r="J318" s="25">
        <f t="shared" si="8"/>
        <v>38.421052631578952</v>
      </c>
      <c r="K318" s="19">
        <f>IF(J318=0,0,J318/INDEX('Labor Dashboard'!$C$36:$C$39,MATCH(E318,'Labor Dashboard'!$B$36:$B$39,0)))</f>
        <v>0.85380116959064334</v>
      </c>
      <c r="L318" s="18">
        <f t="shared" si="9"/>
        <v>4</v>
      </c>
      <c r="M318" s="20">
        <f>G318*INDEX(Employees!$E$2:$E$17,MATCH(B318,Employees!$A$2:$A$17,0))</f>
        <v>129.19999999999999</v>
      </c>
    </row>
    <row r="319" spans="1:13" ht="18" x14ac:dyDescent="0.2">
      <c r="A319" s="17">
        <v>1205</v>
      </c>
      <c r="B319" s="17">
        <v>22</v>
      </c>
      <c r="C319" s="17" t="s">
        <v>360</v>
      </c>
      <c r="D319" s="17" t="s">
        <v>793</v>
      </c>
      <c r="E319" s="17" t="s">
        <v>794</v>
      </c>
      <c r="F319" s="17">
        <v>459</v>
      </c>
      <c r="G319" s="17">
        <v>8.4</v>
      </c>
      <c r="H319" s="17" t="str">
        <f>INDEX(Employees!$B$2:$B$17,MATCH(B319,Employees!$A$2:$A$17,0))</f>
        <v>Avery</v>
      </c>
      <c r="I319" s="17" t="str">
        <f>INDEX(Employees!$C$2:$C$17,MATCH(B319,Employees!$A$2:$A$17,0))</f>
        <v>Packer</v>
      </c>
      <c r="J319" s="25">
        <f t="shared" si="8"/>
        <v>54.642857142857139</v>
      </c>
      <c r="K319" s="19">
        <f>IF(J319=0,0,J319/INDEX('Labor Dashboard'!$C$36:$C$39,MATCH(E319,'Labor Dashboard'!$B$36:$B$39,0)))</f>
        <v>1.2142857142857142</v>
      </c>
      <c r="L319" s="18">
        <f t="shared" si="9"/>
        <v>4</v>
      </c>
      <c r="M319" s="20">
        <f>G319*INDEX(Employees!$E$2:$E$17,MATCH(B319,Employees!$A$2:$A$17,0))</f>
        <v>142.80000000000001</v>
      </c>
    </row>
    <row r="320" spans="1:13" ht="18" x14ac:dyDescent="0.2">
      <c r="A320" s="17">
        <v>1206</v>
      </c>
      <c r="B320" s="17">
        <v>23</v>
      </c>
      <c r="C320" s="17" t="s">
        <v>360</v>
      </c>
      <c r="D320" s="17" t="s">
        <v>793</v>
      </c>
      <c r="E320" s="17" t="s">
        <v>794</v>
      </c>
      <c r="F320" s="17">
        <v>372</v>
      </c>
      <c r="G320" s="17">
        <v>7.4</v>
      </c>
      <c r="H320" s="17" t="str">
        <f>INDEX(Employees!$B$2:$B$17,MATCH(B320,Employees!$A$2:$A$17,0))</f>
        <v>Cameron</v>
      </c>
      <c r="I320" s="17" t="str">
        <f>INDEX(Employees!$C$2:$C$17,MATCH(B320,Employees!$A$2:$A$17,0))</f>
        <v>Packer</v>
      </c>
      <c r="J320" s="25">
        <f t="shared" si="8"/>
        <v>50.270270270270267</v>
      </c>
      <c r="K320" s="19">
        <f>IF(J320=0,0,J320/INDEX('Labor Dashboard'!$C$36:$C$39,MATCH(E320,'Labor Dashboard'!$B$36:$B$39,0)))</f>
        <v>1.117117117117117</v>
      </c>
      <c r="L320" s="18">
        <f t="shared" si="9"/>
        <v>4</v>
      </c>
      <c r="M320" s="20">
        <f>G320*INDEX(Employees!$E$2:$E$17,MATCH(B320,Employees!$A$2:$A$17,0))</f>
        <v>125.80000000000001</v>
      </c>
    </row>
    <row r="321" spans="1:13" ht="18" x14ac:dyDescent="0.2">
      <c r="A321" s="17">
        <v>1207</v>
      </c>
      <c r="B321" s="17">
        <v>24</v>
      </c>
      <c r="C321" s="17" t="s">
        <v>360</v>
      </c>
      <c r="D321" s="17" t="s">
        <v>791</v>
      </c>
      <c r="E321" s="17" t="s">
        <v>795</v>
      </c>
      <c r="F321" s="17">
        <v>251</v>
      </c>
      <c r="G321" s="17">
        <v>7.8</v>
      </c>
      <c r="H321" s="17" t="str">
        <f>INDEX(Employees!$B$2:$B$17,MATCH(B321,Employees!$A$2:$A$17,0))</f>
        <v>Dakota</v>
      </c>
      <c r="I321" s="17" t="str">
        <f>INDEX(Employees!$C$2:$C$17,MATCH(B321,Employees!$A$2:$A$17,0))</f>
        <v>Forklift Operator</v>
      </c>
      <c r="J321" s="25">
        <f t="shared" si="8"/>
        <v>32.179487179487182</v>
      </c>
      <c r="K321" s="19">
        <f>IF(J321=0,0,J321/INDEX('Labor Dashboard'!$C$36:$C$39,MATCH(E321,'Labor Dashboard'!$B$36:$B$39,0)))</f>
        <v>1.0726495726495728</v>
      </c>
      <c r="L321" s="18">
        <f t="shared" si="9"/>
        <v>4</v>
      </c>
      <c r="M321" s="20">
        <f>G321*INDEX(Employees!$E$2:$E$17,MATCH(B321,Employees!$A$2:$A$17,0))</f>
        <v>152.1</v>
      </c>
    </row>
    <row r="322" spans="1:13" ht="18" x14ac:dyDescent="0.2">
      <c r="A322" s="17">
        <v>1208</v>
      </c>
      <c r="B322" s="17">
        <v>26</v>
      </c>
      <c r="C322" s="17" t="s">
        <v>360</v>
      </c>
      <c r="D322" s="17" t="s">
        <v>793</v>
      </c>
      <c r="E322" s="17" t="s">
        <v>795</v>
      </c>
      <c r="F322" s="17">
        <v>183</v>
      </c>
      <c r="G322" s="17">
        <v>7.4</v>
      </c>
      <c r="H322" s="17" t="str">
        <f>INDEX(Employees!$B$2:$B$17,MATCH(B322,Employees!$A$2:$A$17,0))</f>
        <v>Reese</v>
      </c>
      <c r="I322" s="17" t="str">
        <f>INDEX(Employees!$C$2:$C$17,MATCH(B322,Employees!$A$2:$A$17,0))</f>
        <v>Receiving Clerk</v>
      </c>
      <c r="J322" s="25">
        <f t="shared" ref="J322:J385" si="10">IF(G322=0,0,F322/G322)</f>
        <v>24.72972972972973</v>
      </c>
      <c r="K322" s="19">
        <f>IF(J322=0,0,J322/INDEX('Labor Dashboard'!$C$36:$C$39,MATCH(E322,'Labor Dashboard'!$B$36:$B$39,0)))</f>
        <v>0.82432432432432434</v>
      </c>
      <c r="L322" s="18">
        <f t="shared" ref="L322:L385" si="11">INT((DATEVALUE(C322)-DATE(2026,4,6))/7)</f>
        <v>4</v>
      </c>
      <c r="M322" s="20">
        <f>G322*INDEX(Employees!$E$2:$E$17,MATCH(B322,Employees!$A$2:$A$17,0))</f>
        <v>133.20000000000002</v>
      </c>
    </row>
    <row r="323" spans="1:13" ht="18" x14ac:dyDescent="0.2">
      <c r="A323" s="17">
        <v>1209</v>
      </c>
      <c r="B323" s="17">
        <v>27</v>
      </c>
      <c r="C323" s="17" t="s">
        <v>360</v>
      </c>
      <c r="D323" s="17" t="s">
        <v>791</v>
      </c>
      <c r="E323" s="17" t="s">
        <v>795</v>
      </c>
      <c r="F323" s="17">
        <v>220</v>
      </c>
      <c r="G323" s="17">
        <v>8.4</v>
      </c>
      <c r="H323" s="17" t="str">
        <f>INDEX(Employees!$B$2:$B$17,MATCH(B323,Employees!$A$2:$A$17,0))</f>
        <v>Skyler</v>
      </c>
      <c r="I323" s="17" t="str">
        <f>INDEX(Employees!$C$2:$C$17,MATCH(B323,Employees!$A$2:$A$17,0))</f>
        <v>Receiving Clerk</v>
      </c>
      <c r="J323" s="25">
        <f t="shared" si="10"/>
        <v>26.19047619047619</v>
      </c>
      <c r="K323" s="19">
        <f>IF(J323=0,0,J323/INDEX('Labor Dashboard'!$C$36:$C$39,MATCH(E323,'Labor Dashboard'!$B$36:$B$39,0)))</f>
        <v>0.87301587301587302</v>
      </c>
      <c r="L323" s="18">
        <f t="shared" si="11"/>
        <v>4</v>
      </c>
      <c r="M323" s="20">
        <f>G323*INDEX(Employees!$E$2:$E$17,MATCH(B323,Employees!$A$2:$A$17,0))</f>
        <v>151.20000000000002</v>
      </c>
    </row>
    <row r="324" spans="1:13" ht="18" x14ac:dyDescent="0.2">
      <c r="A324" s="17">
        <v>1210</v>
      </c>
      <c r="B324" s="17">
        <v>29</v>
      </c>
      <c r="C324" s="17" t="s">
        <v>360</v>
      </c>
      <c r="D324" s="17" t="s">
        <v>793</v>
      </c>
      <c r="E324" s="17" t="s">
        <v>796</v>
      </c>
      <c r="F324" s="17">
        <v>185</v>
      </c>
      <c r="G324" s="17">
        <v>7.4</v>
      </c>
      <c r="H324" s="17" t="str">
        <f>INDEX(Employees!$B$2:$B$17,MATCH(B324,Employees!$A$2:$A$17,0))</f>
        <v>Rowan</v>
      </c>
      <c r="I324" s="17" t="str">
        <f>INDEX(Employees!$C$2:$C$17,MATCH(B324,Employees!$A$2:$A$17,0))</f>
        <v>Cycle Counter</v>
      </c>
      <c r="J324" s="25">
        <f t="shared" si="10"/>
        <v>25</v>
      </c>
      <c r="K324" s="19">
        <f>IF(J324=0,0,J324/INDEX('Labor Dashboard'!$C$36:$C$39,MATCH(E324,'Labor Dashboard'!$B$36:$B$39,0)))</f>
        <v>1</v>
      </c>
      <c r="L324" s="18">
        <f t="shared" si="11"/>
        <v>4</v>
      </c>
      <c r="M324" s="20">
        <f>G324*INDEX(Employees!$E$2:$E$17,MATCH(B324,Employees!$A$2:$A$17,0))</f>
        <v>133.20000000000002</v>
      </c>
    </row>
    <row r="325" spans="1:13" ht="18" x14ac:dyDescent="0.2">
      <c r="A325" s="17">
        <v>1211</v>
      </c>
      <c r="B325" s="17">
        <v>30</v>
      </c>
      <c r="C325" s="17" t="s">
        <v>360</v>
      </c>
      <c r="D325" s="17" t="s">
        <v>793</v>
      </c>
      <c r="E325" s="17" t="s">
        <v>794</v>
      </c>
      <c r="F325" s="17">
        <v>284</v>
      </c>
      <c r="G325" s="17">
        <v>6.8</v>
      </c>
      <c r="H325" s="17" t="str">
        <f>INDEX(Employees!$B$2:$B$17,MATCH(B325,Employees!$A$2:$A$17,0))</f>
        <v>Emerson</v>
      </c>
      <c r="I325" s="17" t="str">
        <f>INDEX(Employees!$C$2:$C$17,MATCH(B325,Employees!$A$2:$A$17,0))</f>
        <v>Shift Supervisor</v>
      </c>
      <c r="J325" s="25">
        <f t="shared" si="10"/>
        <v>41.764705882352942</v>
      </c>
      <c r="K325" s="19">
        <f>IF(J325=0,0,J325/INDEX('Labor Dashboard'!$C$36:$C$39,MATCH(E325,'Labor Dashboard'!$B$36:$B$39,0)))</f>
        <v>0.92810457516339873</v>
      </c>
      <c r="L325" s="18">
        <f t="shared" si="11"/>
        <v>4</v>
      </c>
      <c r="M325" s="20">
        <f>G325*INDEX(Employees!$E$2:$E$17,MATCH(B325,Employees!$A$2:$A$17,0))</f>
        <v>163.19999999999999</v>
      </c>
    </row>
    <row r="326" spans="1:13" ht="18" x14ac:dyDescent="0.2">
      <c r="A326" s="17">
        <v>1212</v>
      </c>
      <c r="B326" s="17">
        <v>31</v>
      </c>
      <c r="C326" s="17" t="s">
        <v>360</v>
      </c>
      <c r="D326" s="17" t="s">
        <v>793</v>
      </c>
      <c r="E326" s="17" t="s">
        <v>796</v>
      </c>
      <c r="F326" s="17">
        <v>224</v>
      </c>
      <c r="G326" s="17">
        <v>8.1</v>
      </c>
      <c r="H326" s="17" t="str">
        <f>INDEX(Employees!$B$2:$B$17,MATCH(B326,Employees!$A$2:$A$17,0))</f>
        <v>Finley</v>
      </c>
      <c r="I326" s="17" t="str">
        <f>INDEX(Employees!$C$2:$C$17,MATCH(B326,Employees!$A$2:$A$17,0))</f>
        <v>Shift Supervisor</v>
      </c>
      <c r="J326" s="25">
        <f t="shared" si="10"/>
        <v>27.654320987654323</v>
      </c>
      <c r="K326" s="19">
        <f>IF(J326=0,0,J326/INDEX('Labor Dashboard'!$C$36:$C$39,MATCH(E326,'Labor Dashboard'!$B$36:$B$39,0)))</f>
        <v>1.106172839506173</v>
      </c>
      <c r="L326" s="18">
        <f t="shared" si="11"/>
        <v>4</v>
      </c>
      <c r="M326" s="20">
        <f>G326*INDEX(Employees!$E$2:$E$17,MATCH(B326,Employees!$A$2:$A$17,0))</f>
        <v>194.39999999999998</v>
      </c>
    </row>
    <row r="327" spans="1:13" ht="18" x14ac:dyDescent="0.2">
      <c r="A327" s="17">
        <v>1213</v>
      </c>
      <c r="B327" s="17">
        <v>32</v>
      </c>
      <c r="C327" s="17" t="s">
        <v>360</v>
      </c>
      <c r="D327" s="17" t="s">
        <v>791</v>
      </c>
      <c r="E327" s="17" t="s">
        <v>792</v>
      </c>
      <c r="F327" s="17">
        <v>341</v>
      </c>
      <c r="G327" s="17">
        <v>7.1</v>
      </c>
      <c r="H327" s="17" t="str">
        <f>INDEX(Employees!$B$2:$B$17,MATCH(B327,Employees!$A$2:$A$17,0))</f>
        <v>Sawyer</v>
      </c>
      <c r="I327" s="17" t="str">
        <f>INDEX(Employees!$C$2:$C$17,MATCH(B327,Employees!$A$2:$A$17,0))</f>
        <v>Shift Supervisor</v>
      </c>
      <c r="J327" s="25">
        <f t="shared" si="10"/>
        <v>48.028169014084511</v>
      </c>
      <c r="K327" s="19">
        <f>IF(J327=0,0,J327/INDEX('Labor Dashboard'!$C$36:$C$39,MATCH(E327,'Labor Dashboard'!$B$36:$B$39,0)))</f>
        <v>0.87323943661971837</v>
      </c>
      <c r="L327" s="18">
        <f t="shared" si="11"/>
        <v>4</v>
      </c>
      <c r="M327" s="20">
        <f>G327*INDEX(Employees!$E$2:$E$17,MATCH(B327,Employees!$A$2:$A$17,0))</f>
        <v>170.39999999999998</v>
      </c>
    </row>
    <row r="328" spans="1:13" ht="18" x14ac:dyDescent="0.2">
      <c r="A328" s="17">
        <v>1214</v>
      </c>
      <c r="B328" s="17">
        <v>17</v>
      </c>
      <c r="C328" s="17" t="s">
        <v>371</v>
      </c>
      <c r="D328" s="17" t="s">
        <v>793</v>
      </c>
      <c r="E328" s="17" t="s">
        <v>792</v>
      </c>
      <c r="F328" s="17">
        <v>368</v>
      </c>
      <c r="G328" s="17">
        <v>7.2</v>
      </c>
      <c r="H328" s="17" t="str">
        <f>INDEX(Employees!$B$2:$B$17,MATCH(B328,Employees!$A$2:$A$17,0))</f>
        <v>Jordan</v>
      </c>
      <c r="I328" s="17" t="str">
        <f>INDEX(Employees!$C$2:$C$17,MATCH(B328,Employees!$A$2:$A$17,0))</f>
        <v>Picker</v>
      </c>
      <c r="J328" s="25">
        <f t="shared" si="10"/>
        <v>51.111111111111107</v>
      </c>
      <c r="K328" s="19">
        <f>IF(J328=0,0,J328/INDEX('Labor Dashboard'!$C$36:$C$39,MATCH(E328,'Labor Dashboard'!$B$36:$B$39,0)))</f>
        <v>0.92929292929292917</v>
      </c>
      <c r="L328" s="18">
        <f t="shared" si="11"/>
        <v>4</v>
      </c>
      <c r="M328" s="20">
        <f>G328*INDEX(Employees!$E$2:$E$17,MATCH(B328,Employees!$A$2:$A$17,0))</f>
        <v>122.4</v>
      </c>
    </row>
    <row r="329" spans="1:13" ht="18" x14ac:dyDescent="0.2">
      <c r="A329" s="17">
        <v>1215</v>
      </c>
      <c r="B329" s="17">
        <v>18</v>
      </c>
      <c r="C329" s="17" t="s">
        <v>371</v>
      </c>
      <c r="D329" s="17" t="s">
        <v>791</v>
      </c>
      <c r="E329" s="17" t="s">
        <v>792</v>
      </c>
      <c r="F329" s="17">
        <v>480</v>
      </c>
      <c r="G329" s="17">
        <v>8.1</v>
      </c>
      <c r="H329" s="17" t="str">
        <f>INDEX(Employees!$B$2:$B$17,MATCH(B329,Employees!$A$2:$A$17,0))</f>
        <v>Casey</v>
      </c>
      <c r="I329" s="17" t="str">
        <f>INDEX(Employees!$C$2:$C$17,MATCH(B329,Employees!$A$2:$A$17,0))</f>
        <v>Picker</v>
      </c>
      <c r="J329" s="25">
        <f t="shared" si="10"/>
        <v>59.25925925925926</v>
      </c>
      <c r="K329" s="19">
        <f>IF(J329=0,0,J329/INDEX('Labor Dashboard'!$C$36:$C$39,MATCH(E329,'Labor Dashboard'!$B$36:$B$39,0)))</f>
        <v>1.0774410774410774</v>
      </c>
      <c r="L329" s="18">
        <f t="shared" si="11"/>
        <v>4</v>
      </c>
      <c r="M329" s="20">
        <f>G329*INDEX(Employees!$E$2:$E$17,MATCH(B329,Employees!$A$2:$A$17,0))</f>
        <v>137.69999999999999</v>
      </c>
    </row>
    <row r="330" spans="1:13" ht="18" x14ac:dyDescent="0.2">
      <c r="A330" s="17">
        <v>1216</v>
      </c>
      <c r="B330" s="17">
        <v>19</v>
      </c>
      <c r="C330" s="17" t="s">
        <v>371</v>
      </c>
      <c r="D330" s="17" t="s">
        <v>793</v>
      </c>
      <c r="E330" s="17" t="s">
        <v>792</v>
      </c>
      <c r="F330" s="17">
        <v>378</v>
      </c>
      <c r="G330" s="17">
        <v>6.8</v>
      </c>
      <c r="H330" s="17" t="str">
        <f>INDEX(Employees!$B$2:$B$17,MATCH(B330,Employees!$A$2:$A$17,0))</f>
        <v>Morgan</v>
      </c>
      <c r="I330" s="17" t="str">
        <f>INDEX(Employees!$C$2:$C$17,MATCH(B330,Employees!$A$2:$A$17,0))</f>
        <v>Picker</v>
      </c>
      <c r="J330" s="25">
        <f t="shared" si="10"/>
        <v>55.588235294117645</v>
      </c>
      <c r="K330" s="19">
        <f>IF(J330=0,0,J330/INDEX('Labor Dashboard'!$C$36:$C$39,MATCH(E330,'Labor Dashboard'!$B$36:$B$39,0)))</f>
        <v>1.0106951871657754</v>
      </c>
      <c r="L330" s="18">
        <f t="shared" si="11"/>
        <v>4</v>
      </c>
      <c r="M330" s="20">
        <f>G330*INDEX(Employees!$E$2:$E$17,MATCH(B330,Employees!$A$2:$A$17,0))</f>
        <v>115.6</v>
      </c>
    </row>
    <row r="331" spans="1:13" ht="18" x14ac:dyDescent="0.2">
      <c r="A331" s="17">
        <v>1217</v>
      </c>
      <c r="B331" s="17">
        <v>20</v>
      </c>
      <c r="C331" s="17" t="s">
        <v>371</v>
      </c>
      <c r="D331" s="17" t="s">
        <v>793</v>
      </c>
      <c r="E331" s="17" t="s">
        <v>792</v>
      </c>
      <c r="F331" s="17">
        <v>437</v>
      </c>
      <c r="G331" s="17">
        <v>8.1</v>
      </c>
      <c r="H331" s="17" t="str">
        <f>INDEX(Employees!$B$2:$B$17,MATCH(B331,Employees!$A$2:$A$17,0))</f>
        <v>Taylor</v>
      </c>
      <c r="I331" s="17" t="str">
        <f>INDEX(Employees!$C$2:$C$17,MATCH(B331,Employees!$A$2:$A$17,0))</f>
        <v>Picker</v>
      </c>
      <c r="J331" s="25">
        <f t="shared" si="10"/>
        <v>53.950617283950621</v>
      </c>
      <c r="K331" s="19">
        <f>IF(J331=0,0,J331/INDEX('Labor Dashboard'!$C$36:$C$39,MATCH(E331,'Labor Dashboard'!$B$36:$B$39,0)))</f>
        <v>0.98092031425364767</v>
      </c>
      <c r="L331" s="18">
        <f t="shared" si="11"/>
        <v>4</v>
      </c>
      <c r="M331" s="20">
        <f>G331*INDEX(Employees!$E$2:$E$17,MATCH(B331,Employees!$A$2:$A$17,0))</f>
        <v>137.69999999999999</v>
      </c>
    </row>
    <row r="332" spans="1:13" ht="18" x14ac:dyDescent="0.2">
      <c r="A332" s="17">
        <v>1218</v>
      </c>
      <c r="B332" s="17">
        <v>21</v>
      </c>
      <c r="C332" s="17" t="s">
        <v>371</v>
      </c>
      <c r="D332" s="17" t="s">
        <v>791</v>
      </c>
      <c r="E332" s="17" t="s">
        <v>794</v>
      </c>
      <c r="F332" s="17">
        <v>326</v>
      </c>
      <c r="G332" s="17">
        <v>8.4</v>
      </c>
      <c r="H332" s="17" t="str">
        <f>INDEX(Employees!$B$2:$B$17,MATCH(B332,Employees!$A$2:$A$17,0))</f>
        <v>Riley</v>
      </c>
      <c r="I332" s="17" t="str">
        <f>INDEX(Employees!$C$2:$C$17,MATCH(B332,Employees!$A$2:$A$17,0))</f>
        <v>Packer</v>
      </c>
      <c r="J332" s="25">
        <f t="shared" si="10"/>
        <v>38.80952380952381</v>
      </c>
      <c r="K332" s="19">
        <f>IF(J332=0,0,J332/INDEX('Labor Dashboard'!$C$36:$C$39,MATCH(E332,'Labor Dashboard'!$B$36:$B$39,0)))</f>
        <v>0.86243386243386244</v>
      </c>
      <c r="L332" s="18">
        <f t="shared" si="11"/>
        <v>4</v>
      </c>
      <c r="M332" s="20">
        <f>G332*INDEX(Employees!$E$2:$E$17,MATCH(B332,Employees!$A$2:$A$17,0))</f>
        <v>142.80000000000001</v>
      </c>
    </row>
    <row r="333" spans="1:13" ht="18" x14ac:dyDescent="0.2">
      <c r="A333" s="17">
        <v>1219</v>
      </c>
      <c r="B333" s="17">
        <v>22</v>
      </c>
      <c r="C333" s="17" t="s">
        <v>371</v>
      </c>
      <c r="D333" s="17" t="s">
        <v>793</v>
      </c>
      <c r="E333" s="17" t="s">
        <v>794</v>
      </c>
      <c r="F333" s="17">
        <v>341</v>
      </c>
      <c r="G333" s="17">
        <v>6.8</v>
      </c>
      <c r="H333" s="17" t="str">
        <f>INDEX(Employees!$B$2:$B$17,MATCH(B333,Employees!$A$2:$A$17,0))</f>
        <v>Avery</v>
      </c>
      <c r="I333" s="17" t="str">
        <f>INDEX(Employees!$C$2:$C$17,MATCH(B333,Employees!$A$2:$A$17,0))</f>
        <v>Packer</v>
      </c>
      <c r="J333" s="25">
        <f t="shared" si="10"/>
        <v>50.147058823529413</v>
      </c>
      <c r="K333" s="19">
        <f>IF(J333=0,0,J333/INDEX('Labor Dashboard'!$C$36:$C$39,MATCH(E333,'Labor Dashboard'!$B$36:$B$39,0)))</f>
        <v>1.1143790849673203</v>
      </c>
      <c r="L333" s="18">
        <f t="shared" si="11"/>
        <v>4</v>
      </c>
      <c r="M333" s="20">
        <f>G333*INDEX(Employees!$E$2:$E$17,MATCH(B333,Employees!$A$2:$A$17,0))</f>
        <v>115.6</v>
      </c>
    </row>
    <row r="334" spans="1:13" ht="18" x14ac:dyDescent="0.2">
      <c r="A334" s="17">
        <v>1220</v>
      </c>
      <c r="B334" s="17">
        <v>23</v>
      </c>
      <c r="C334" s="17" t="s">
        <v>371</v>
      </c>
      <c r="D334" s="17" t="s">
        <v>793</v>
      </c>
      <c r="E334" s="17" t="s">
        <v>794</v>
      </c>
      <c r="F334" s="17">
        <v>414</v>
      </c>
      <c r="G334" s="17">
        <v>8.1999999999999993</v>
      </c>
      <c r="H334" s="17" t="str">
        <f>INDEX(Employees!$B$2:$B$17,MATCH(B334,Employees!$A$2:$A$17,0))</f>
        <v>Cameron</v>
      </c>
      <c r="I334" s="17" t="str">
        <f>INDEX(Employees!$C$2:$C$17,MATCH(B334,Employees!$A$2:$A$17,0))</f>
        <v>Packer</v>
      </c>
      <c r="J334" s="25">
        <f t="shared" si="10"/>
        <v>50.487804878048784</v>
      </c>
      <c r="K334" s="19">
        <f>IF(J334=0,0,J334/INDEX('Labor Dashboard'!$C$36:$C$39,MATCH(E334,'Labor Dashboard'!$B$36:$B$39,0)))</f>
        <v>1.1219512195121952</v>
      </c>
      <c r="L334" s="18">
        <f t="shared" si="11"/>
        <v>4</v>
      </c>
      <c r="M334" s="20">
        <f>G334*INDEX(Employees!$E$2:$E$17,MATCH(B334,Employees!$A$2:$A$17,0))</f>
        <v>139.39999999999998</v>
      </c>
    </row>
    <row r="335" spans="1:13" ht="18" x14ac:dyDescent="0.2">
      <c r="A335" s="17">
        <v>1221</v>
      </c>
      <c r="B335" s="17">
        <v>25</v>
      </c>
      <c r="C335" s="17" t="s">
        <v>371</v>
      </c>
      <c r="D335" s="17" t="s">
        <v>791</v>
      </c>
      <c r="E335" s="17" t="s">
        <v>795</v>
      </c>
      <c r="F335" s="17">
        <v>207</v>
      </c>
      <c r="G335" s="17">
        <v>6.6</v>
      </c>
      <c r="H335" s="17" t="str">
        <f>INDEX(Employees!$B$2:$B$17,MATCH(B335,Employees!$A$2:$A$17,0))</f>
        <v>Hayden</v>
      </c>
      <c r="I335" s="17" t="str">
        <f>INDEX(Employees!$C$2:$C$17,MATCH(B335,Employees!$A$2:$A$17,0))</f>
        <v>Forklift Operator</v>
      </c>
      <c r="J335" s="25">
        <f t="shared" si="10"/>
        <v>31.363636363636367</v>
      </c>
      <c r="K335" s="19">
        <f>IF(J335=0,0,J335/INDEX('Labor Dashboard'!$C$36:$C$39,MATCH(E335,'Labor Dashboard'!$B$36:$B$39,0)))</f>
        <v>1.0454545454545456</v>
      </c>
      <c r="L335" s="18">
        <f t="shared" si="11"/>
        <v>4</v>
      </c>
      <c r="M335" s="20">
        <f>G335*INDEX(Employees!$E$2:$E$17,MATCH(B335,Employees!$A$2:$A$17,0))</f>
        <v>128.69999999999999</v>
      </c>
    </row>
    <row r="336" spans="1:13" ht="18" x14ac:dyDescent="0.2">
      <c r="A336" s="17">
        <v>1222</v>
      </c>
      <c r="B336" s="17">
        <v>26</v>
      </c>
      <c r="C336" s="17" t="s">
        <v>371</v>
      </c>
      <c r="D336" s="17" t="s">
        <v>791</v>
      </c>
      <c r="E336" s="17" t="s">
        <v>795</v>
      </c>
      <c r="F336" s="17">
        <v>242</v>
      </c>
      <c r="G336" s="17">
        <v>8.5</v>
      </c>
      <c r="H336" s="17" t="str">
        <f>INDEX(Employees!$B$2:$B$17,MATCH(B336,Employees!$A$2:$A$17,0))</f>
        <v>Reese</v>
      </c>
      <c r="I336" s="17" t="str">
        <f>INDEX(Employees!$C$2:$C$17,MATCH(B336,Employees!$A$2:$A$17,0))</f>
        <v>Receiving Clerk</v>
      </c>
      <c r="J336" s="25">
        <f t="shared" si="10"/>
        <v>28.470588235294116</v>
      </c>
      <c r="K336" s="19">
        <f>IF(J336=0,0,J336/INDEX('Labor Dashboard'!$C$36:$C$39,MATCH(E336,'Labor Dashboard'!$B$36:$B$39,0)))</f>
        <v>0.94901960784313721</v>
      </c>
      <c r="L336" s="18">
        <f t="shared" si="11"/>
        <v>4</v>
      </c>
      <c r="M336" s="20">
        <f>G336*INDEX(Employees!$E$2:$E$17,MATCH(B336,Employees!$A$2:$A$17,0))</f>
        <v>153</v>
      </c>
    </row>
    <row r="337" spans="1:13" ht="18" x14ac:dyDescent="0.2">
      <c r="A337" s="17">
        <v>1223</v>
      </c>
      <c r="B337" s="17">
        <v>29</v>
      </c>
      <c r="C337" s="17" t="s">
        <v>371</v>
      </c>
      <c r="D337" s="17" t="s">
        <v>791</v>
      </c>
      <c r="E337" s="17" t="s">
        <v>796</v>
      </c>
      <c r="F337" s="17">
        <v>173</v>
      </c>
      <c r="G337" s="17">
        <v>6.7</v>
      </c>
      <c r="H337" s="17" t="str">
        <f>INDEX(Employees!$B$2:$B$17,MATCH(B337,Employees!$A$2:$A$17,0))</f>
        <v>Rowan</v>
      </c>
      <c r="I337" s="17" t="str">
        <f>INDEX(Employees!$C$2:$C$17,MATCH(B337,Employees!$A$2:$A$17,0))</f>
        <v>Cycle Counter</v>
      </c>
      <c r="J337" s="25">
        <f t="shared" si="10"/>
        <v>25.82089552238806</v>
      </c>
      <c r="K337" s="19">
        <f>IF(J337=0,0,J337/INDEX('Labor Dashboard'!$C$36:$C$39,MATCH(E337,'Labor Dashboard'!$B$36:$B$39,0)))</f>
        <v>1.0328358208955224</v>
      </c>
      <c r="L337" s="18">
        <f t="shared" si="11"/>
        <v>4</v>
      </c>
      <c r="M337" s="20">
        <f>G337*INDEX(Employees!$E$2:$E$17,MATCH(B337,Employees!$A$2:$A$17,0))</f>
        <v>120.60000000000001</v>
      </c>
    </row>
    <row r="338" spans="1:13" ht="18" x14ac:dyDescent="0.2">
      <c r="A338" s="17">
        <v>1224</v>
      </c>
      <c r="B338" s="17">
        <v>30</v>
      </c>
      <c r="C338" s="17" t="s">
        <v>371</v>
      </c>
      <c r="D338" s="17" t="s">
        <v>793</v>
      </c>
      <c r="E338" s="17" t="s">
        <v>796</v>
      </c>
      <c r="F338" s="17">
        <v>143</v>
      </c>
      <c r="G338" s="17">
        <v>7.3</v>
      </c>
      <c r="H338" s="17" t="str">
        <f>INDEX(Employees!$B$2:$B$17,MATCH(B338,Employees!$A$2:$A$17,0))</f>
        <v>Emerson</v>
      </c>
      <c r="I338" s="17" t="str">
        <f>INDEX(Employees!$C$2:$C$17,MATCH(B338,Employees!$A$2:$A$17,0))</f>
        <v>Shift Supervisor</v>
      </c>
      <c r="J338" s="25">
        <f t="shared" si="10"/>
        <v>19.589041095890412</v>
      </c>
      <c r="K338" s="19">
        <f>IF(J338=0,0,J338/INDEX('Labor Dashboard'!$C$36:$C$39,MATCH(E338,'Labor Dashboard'!$B$36:$B$39,0)))</f>
        <v>0.78356164383561644</v>
      </c>
      <c r="L338" s="18">
        <f t="shared" si="11"/>
        <v>4</v>
      </c>
      <c r="M338" s="20">
        <f>G338*INDEX(Employees!$E$2:$E$17,MATCH(B338,Employees!$A$2:$A$17,0))</f>
        <v>175.2</v>
      </c>
    </row>
    <row r="339" spans="1:13" ht="18" x14ac:dyDescent="0.2">
      <c r="A339" s="17">
        <v>1225</v>
      </c>
      <c r="B339" s="17">
        <v>31</v>
      </c>
      <c r="C339" s="17" t="s">
        <v>371</v>
      </c>
      <c r="D339" s="17" t="s">
        <v>791</v>
      </c>
      <c r="E339" s="17" t="s">
        <v>796</v>
      </c>
      <c r="F339" s="17">
        <v>180</v>
      </c>
      <c r="G339" s="17">
        <v>6.9</v>
      </c>
      <c r="H339" s="17" t="str">
        <f>INDEX(Employees!$B$2:$B$17,MATCH(B339,Employees!$A$2:$A$17,0))</f>
        <v>Finley</v>
      </c>
      <c r="I339" s="17" t="str">
        <f>INDEX(Employees!$C$2:$C$17,MATCH(B339,Employees!$A$2:$A$17,0))</f>
        <v>Shift Supervisor</v>
      </c>
      <c r="J339" s="25">
        <f t="shared" si="10"/>
        <v>26.086956521739129</v>
      </c>
      <c r="K339" s="19">
        <f>IF(J339=0,0,J339/INDEX('Labor Dashboard'!$C$36:$C$39,MATCH(E339,'Labor Dashboard'!$B$36:$B$39,0)))</f>
        <v>1.0434782608695652</v>
      </c>
      <c r="L339" s="18">
        <f t="shared" si="11"/>
        <v>4</v>
      </c>
      <c r="M339" s="20">
        <f>G339*INDEX(Employees!$E$2:$E$17,MATCH(B339,Employees!$A$2:$A$17,0))</f>
        <v>165.60000000000002</v>
      </c>
    </row>
    <row r="340" spans="1:13" ht="18" x14ac:dyDescent="0.2">
      <c r="A340" s="17">
        <v>1226</v>
      </c>
      <c r="B340" s="17">
        <v>32</v>
      </c>
      <c r="C340" s="17" t="s">
        <v>371</v>
      </c>
      <c r="D340" s="17" t="s">
        <v>793</v>
      </c>
      <c r="E340" s="17" t="s">
        <v>794</v>
      </c>
      <c r="F340" s="17">
        <v>339</v>
      </c>
      <c r="G340" s="17">
        <v>8.3000000000000007</v>
      </c>
      <c r="H340" s="17" t="str">
        <f>INDEX(Employees!$B$2:$B$17,MATCH(B340,Employees!$A$2:$A$17,0))</f>
        <v>Sawyer</v>
      </c>
      <c r="I340" s="17" t="str">
        <f>INDEX(Employees!$C$2:$C$17,MATCH(B340,Employees!$A$2:$A$17,0))</f>
        <v>Shift Supervisor</v>
      </c>
      <c r="J340" s="25">
        <f t="shared" si="10"/>
        <v>40.843373493975903</v>
      </c>
      <c r="K340" s="19">
        <f>IF(J340=0,0,J340/INDEX('Labor Dashboard'!$C$36:$C$39,MATCH(E340,'Labor Dashboard'!$B$36:$B$39,0)))</f>
        <v>0.90763052208835338</v>
      </c>
      <c r="L340" s="18">
        <f t="shared" si="11"/>
        <v>4</v>
      </c>
      <c r="M340" s="20">
        <f>G340*INDEX(Employees!$E$2:$E$17,MATCH(B340,Employees!$A$2:$A$17,0))</f>
        <v>199.20000000000002</v>
      </c>
    </row>
    <row r="341" spans="1:13" ht="18" x14ac:dyDescent="0.2">
      <c r="A341" s="17">
        <v>1227</v>
      </c>
      <c r="B341" s="17">
        <v>17</v>
      </c>
      <c r="C341" s="17" t="s">
        <v>177</v>
      </c>
      <c r="D341" s="17" t="s">
        <v>791</v>
      </c>
      <c r="E341" s="17" t="s">
        <v>792</v>
      </c>
      <c r="F341" s="17">
        <v>414</v>
      </c>
      <c r="G341" s="17">
        <v>8</v>
      </c>
      <c r="H341" s="17" t="str">
        <f>INDEX(Employees!$B$2:$B$17,MATCH(B341,Employees!$A$2:$A$17,0))</f>
        <v>Jordan</v>
      </c>
      <c r="I341" s="17" t="str">
        <f>INDEX(Employees!$C$2:$C$17,MATCH(B341,Employees!$A$2:$A$17,0))</f>
        <v>Picker</v>
      </c>
      <c r="J341" s="25">
        <f t="shared" si="10"/>
        <v>51.75</v>
      </c>
      <c r="K341" s="19">
        <f>IF(J341=0,0,J341/INDEX('Labor Dashboard'!$C$36:$C$39,MATCH(E341,'Labor Dashboard'!$B$36:$B$39,0)))</f>
        <v>0.94090909090909092</v>
      </c>
      <c r="L341" s="18">
        <f t="shared" si="11"/>
        <v>5</v>
      </c>
      <c r="M341" s="20">
        <f>G341*INDEX(Employees!$E$2:$E$17,MATCH(B341,Employees!$A$2:$A$17,0))</f>
        <v>136</v>
      </c>
    </row>
    <row r="342" spans="1:13" ht="18" x14ac:dyDescent="0.2">
      <c r="A342" s="17">
        <v>1228</v>
      </c>
      <c r="B342" s="17">
        <v>18</v>
      </c>
      <c r="C342" s="17" t="s">
        <v>177</v>
      </c>
      <c r="D342" s="17" t="s">
        <v>793</v>
      </c>
      <c r="E342" s="17" t="s">
        <v>792</v>
      </c>
      <c r="F342" s="17">
        <v>503</v>
      </c>
      <c r="G342" s="17">
        <v>7.8</v>
      </c>
      <c r="H342" s="17" t="str">
        <f>INDEX(Employees!$B$2:$B$17,MATCH(B342,Employees!$A$2:$A$17,0))</f>
        <v>Casey</v>
      </c>
      <c r="I342" s="17" t="str">
        <f>INDEX(Employees!$C$2:$C$17,MATCH(B342,Employees!$A$2:$A$17,0))</f>
        <v>Picker</v>
      </c>
      <c r="J342" s="25">
        <f t="shared" si="10"/>
        <v>64.487179487179489</v>
      </c>
      <c r="K342" s="19">
        <f>IF(J342=0,0,J342/INDEX('Labor Dashboard'!$C$36:$C$39,MATCH(E342,'Labor Dashboard'!$B$36:$B$39,0)))</f>
        <v>1.1724941724941724</v>
      </c>
      <c r="L342" s="18">
        <f t="shared" si="11"/>
        <v>5</v>
      </c>
      <c r="M342" s="20">
        <f>G342*INDEX(Employees!$E$2:$E$17,MATCH(B342,Employees!$A$2:$A$17,0))</f>
        <v>132.6</v>
      </c>
    </row>
    <row r="343" spans="1:13" ht="18" x14ac:dyDescent="0.2">
      <c r="A343" s="17">
        <v>1229</v>
      </c>
      <c r="B343" s="17">
        <v>19</v>
      </c>
      <c r="C343" s="17" t="s">
        <v>177</v>
      </c>
      <c r="D343" s="17" t="s">
        <v>793</v>
      </c>
      <c r="E343" s="17" t="s">
        <v>792</v>
      </c>
      <c r="F343" s="17">
        <v>499</v>
      </c>
      <c r="G343" s="17">
        <v>8.1</v>
      </c>
      <c r="H343" s="17" t="str">
        <f>INDEX(Employees!$B$2:$B$17,MATCH(B343,Employees!$A$2:$A$17,0))</f>
        <v>Morgan</v>
      </c>
      <c r="I343" s="17" t="str">
        <f>INDEX(Employees!$C$2:$C$17,MATCH(B343,Employees!$A$2:$A$17,0))</f>
        <v>Picker</v>
      </c>
      <c r="J343" s="25">
        <f t="shared" si="10"/>
        <v>61.604938271604944</v>
      </c>
      <c r="K343" s="19">
        <f>IF(J343=0,0,J343/INDEX('Labor Dashboard'!$C$36:$C$39,MATCH(E343,'Labor Dashboard'!$B$36:$B$39,0)))</f>
        <v>1.1200897867564534</v>
      </c>
      <c r="L343" s="18">
        <f t="shared" si="11"/>
        <v>5</v>
      </c>
      <c r="M343" s="20">
        <f>G343*INDEX(Employees!$E$2:$E$17,MATCH(B343,Employees!$A$2:$A$17,0))</f>
        <v>137.69999999999999</v>
      </c>
    </row>
    <row r="344" spans="1:13" ht="18" x14ac:dyDescent="0.2">
      <c r="A344" s="17">
        <v>1230</v>
      </c>
      <c r="B344" s="17">
        <v>20</v>
      </c>
      <c r="C344" s="17" t="s">
        <v>177</v>
      </c>
      <c r="D344" s="17" t="s">
        <v>791</v>
      </c>
      <c r="E344" s="17" t="s">
        <v>792</v>
      </c>
      <c r="F344" s="17">
        <v>406</v>
      </c>
      <c r="G344" s="17">
        <v>7.8</v>
      </c>
      <c r="H344" s="17" t="str">
        <f>INDEX(Employees!$B$2:$B$17,MATCH(B344,Employees!$A$2:$A$17,0))</f>
        <v>Taylor</v>
      </c>
      <c r="I344" s="17" t="str">
        <f>INDEX(Employees!$C$2:$C$17,MATCH(B344,Employees!$A$2:$A$17,0))</f>
        <v>Picker</v>
      </c>
      <c r="J344" s="25">
        <f t="shared" si="10"/>
        <v>52.051282051282051</v>
      </c>
      <c r="K344" s="19">
        <f>IF(J344=0,0,J344/INDEX('Labor Dashboard'!$C$36:$C$39,MATCH(E344,'Labor Dashboard'!$B$36:$B$39,0)))</f>
        <v>0.94638694638694643</v>
      </c>
      <c r="L344" s="18">
        <f t="shared" si="11"/>
        <v>5</v>
      </c>
      <c r="M344" s="20">
        <f>G344*INDEX(Employees!$E$2:$E$17,MATCH(B344,Employees!$A$2:$A$17,0))</f>
        <v>132.6</v>
      </c>
    </row>
    <row r="345" spans="1:13" ht="18" x14ac:dyDescent="0.2">
      <c r="A345" s="17">
        <v>1231</v>
      </c>
      <c r="B345" s="17">
        <v>21</v>
      </c>
      <c r="C345" s="17" t="s">
        <v>177</v>
      </c>
      <c r="D345" s="17" t="s">
        <v>793</v>
      </c>
      <c r="E345" s="17" t="s">
        <v>794</v>
      </c>
      <c r="F345" s="17">
        <v>253</v>
      </c>
      <c r="G345" s="17">
        <v>6.8</v>
      </c>
      <c r="H345" s="17" t="str">
        <f>INDEX(Employees!$B$2:$B$17,MATCH(B345,Employees!$A$2:$A$17,0))</f>
        <v>Riley</v>
      </c>
      <c r="I345" s="17" t="str">
        <f>INDEX(Employees!$C$2:$C$17,MATCH(B345,Employees!$A$2:$A$17,0))</f>
        <v>Packer</v>
      </c>
      <c r="J345" s="25">
        <f t="shared" si="10"/>
        <v>37.205882352941174</v>
      </c>
      <c r="K345" s="19">
        <f>IF(J345=0,0,J345/INDEX('Labor Dashboard'!$C$36:$C$39,MATCH(E345,'Labor Dashboard'!$B$36:$B$39,0)))</f>
        <v>0.82679738562091498</v>
      </c>
      <c r="L345" s="18">
        <f t="shared" si="11"/>
        <v>5</v>
      </c>
      <c r="M345" s="20">
        <f>G345*INDEX(Employees!$E$2:$E$17,MATCH(B345,Employees!$A$2:$A$17,0))</f>
        <v>115.6</v>
      </c>
    </row>
    <row r="346" spans="1:13" ht="18" x14ac:dyDescent="0.2">
      <c r="A346" s="17">
        <v>1232</v>
      </c>
      <c r="B346" s="17">
        <v>23</v>
      </c>
      <c r="C346" s="17" t="s">
        <v>177</v>
      </c>
      <c r="D346" s="17" t="s">
        <v>791</v>
      </c>
      <c r="E346" s="17" t="s">
        <v>794</v>
      </c>
      <c r="F346" s="17">
        <v>371</v>
      </c>
      <c r="G346" s="17">
        <v>7.9</v>
      </c>
      <c r="H346" s="17" t="str">
        <f>INDEX(Employees!$B$2:$B$17,MATCH(B346,Employees!$A$2:$A$17,0))</f>
        <v>Cameron</v>
      </c>
      <c r="I346" s="17" t="str">
        <f>INDEX(Employees!$C$2:$C$17,MATCH(B346,Employees!$A$2:$A$17,0))</f>
        <v>Packer</v>
      </c>
      <c r="J346" s="25">
        <f t="shared" si="10"/>
        <v>46.962025316455694</v>
      </c>
      <c r="K346" s="19">
        <f>IF(J346=0,0,J346/INDEX('Labor Dashboard'!$C$36:$C$39,MATCH(E346,'Labor Dashboard'!$B$36:$B$39,0)))</f>
        <v>1.0436005625879043</v>
      </c>
      <c r="L346" s="18">
        <f t="shared" si="11"/>
        <v>5</v>
      </c>
      <c r="M346" s="20">
        <f>G346*INDEX(Employees!$E$2:$E$17,MATCH(B346,Employees!$A$2:$A$17,0))</f>
        <v>134.30000000000001</v>
      </c>
    </row>
    <row r="347" spans="1:13" ht="18" x14ac:dyDescent="0.2">
      <c r="A347" s="17">
        <v>1233</v>
      </c>
      <c r="B347" s="17">
        <v>24</v>
      </c>
      <c r="C347" s="17" t="s">
        <v>177</v>
      </c>
      <c r="D347" s="17" t="s">
        <v>793</v>
      </c>
      <c r="E347" s="17" t="s">
        <v>795</v>
      </c>
      <c r="F347" s="17">
        <v>230</v>
      </c>
      <c r="G347" s="17">
        <v>8</v>
      </c>
      <c r="H347" s="17" t="str">
        <f>INDEX(Employees!$B$2:$B$17,MATCH(B347,Employees!$A$2:$A$17,0))</f>
        <v>Dakota</v>
      </c>
      <c r="I347" s="17" t="str">
        <f>INDEX(Employees!$C$2:$C$17,MATCH(B347,Employees!$A$2:$A$17,0))</f>
        <v>Forklift Operator</v>
      </c>
      <c r="J347" s="25">
        <f t="shared" si="10"/>
        <v>28.75</v>
      </c>
      <c r="K347" s="19">
        <f>IF(J347=0,0,J347/INDEX('Labor Dashboard'!$C$36:$C$39,MATCH(E347,'Labor Dashboard'!$B$36:$B$39,0)))</f>
        <v>0.95833333333333337</v>
      </c>
      <c r="L347" s="18">
        <f t="shared" si="11"/>
        <v>5</v>
      </c>
      <c r="M347" s="20">
        <f>G347*INDEX(Employees!$E$2:$E$17,MATCH(B347,Employees!$A$2:$A$17,0))</f>
        <v>156</v>
      </c>
    </row>
    <row r="348" spans="1:13" ht="18" x14ac:dyDescent="0.2">
      <c r="A348" s="17">
        <v>1234</v>
      </c>
      <c r="B348" s="17">
        <v>25</v>
      </c>
      <c r="C348" s="17" t="s">
        <v>177</v>
      </c>
      <c r="D348" s="17" t="s">
        <v>791</v>
      </c>
      <c r="E348" s="17" t="s">
        <v>792</v>
      </c>
      <c r="F348" s="17">
        <v>360</v>
      </c>
      <c r="G348" s="17">
        <v>6.7</v>
      </c>
      <c r="H348" s="17" t="str">
        <f>INDEX(Employees!$B$2:$B$17,MATCH(B348,Employees!$A$2:$A$17,0))</f>
        <v>Hayden</v>
      </c>
      <c r="I348" s="17" t="str">
        <f>INDEX(Employees!$C$2:$C$17,MATCH(B348,Employees!$A$2:$A$17,0))</f>
        <v>Forklift Operator</v>
      </c>
      <c r="J348" s="25">
        <f t="shared" si="10"/>
        <v>53.731343283582085</v>
      </c>
      <c r="K348" s="19">
        <f>IF(J348=0,0,J348/INDEX('Labor Dashboard'!$C$36:$C$39,MATCH(E348,'Labor Dashboard'!$B$36:$B$39,0)))</f>
        <v>0.97693351424694697</v>
      </c>
      <c r="L348" s="18">
        <f t="shared" si="11"/>
        <v>5</v>
      </c>
      <c r="M348" s="20">
        <f>G348*INDEX(Employees!$E$2:$E$17,MATCH(B348,Employees!$A$2:$A$17,0))</f>
        <v>130.65</v>
      </c>
    </row>
    <row r="349" spans="1:13" ht="18" x14ac:dyDescent="0.2">
      <c r="A349" s="17">
        <v>1235</v>
      </c>
      <c r="B349" s="17">
        <v>26</v>
      </c>
      <c r="C349" s="17" t="s">
        <v>177</v>
      </c>
      <c r="D349" s="17" t="s">
        <v>793</v>
      </c>
      <c r="E349" s="17" t="s">
        <v>795</v>
      </c>
      <c r="F349" s="17">
        <v>231</v>
      </c>
      <c r="G349" s="17">
        <v>7.9</v>
      </c>
      <c r="H349" s="17" t="str">
        <f>INDEX(Employees!$B$2:$B$17,MATCH(B349,Employees!$A$2:$A$17,0))</f>
        <v>Reese</v>
      </c>
      <c r="I349" s="17" t="str">
        <f>INDEX(Employees!$C$2:$C$17,MATCH(B349,Employees!$A$2:$A$17,0))</f>
        <v>Receiving Clerk</v>
      </c>
      <c r="J349" s="25">
        <f t="shared" si="10"/>
        <v>29.240506329113924</v>
      </c>
      <c r="K349" s="19">
        <f>IF(J349=0,0,J349/INDEX('Labor Dashboard'!$C$36:$C$39,MATCH(E349,'Labor Dashboard'!$B$36:$B$39,0)))</f>
        <v>0.97468354430379744</v>
      </c>
      <c r="L349" s="18">
        <f t="shared" si="11"/>
        <v>5</v>
      </c>
      <c r="M349" s="20">
        <f>G349*INDEX(Employees!$E$2:$E$17,MATCH(B349,Employees!$A$2:$A$17,0))</f>
        <v>142.20000000000002</v>
      </c>
    </row>
    <row r="350" spans="1:13" ht="18" x14ac:dyDescent="0.2">
      <c r="A350" s="17">
        <v>1236</v>
      </c>
      <c r="B350" s="17">
        <v>27</v>
      </c>
      <c r="C350" s="17" t="s">
        <v>177</v>
      </c>
      <c r="D350" s="17" t="s">
        <v>793</v>
      </c>
      <c r="E350" s="17" t="s">
        <v>795</v>
      </c>
      <c r="F350" s="17">
        <v>162</v>
      </c>
      <c r="G350" s="17">
        <v>6.6</v>
      </c>
      <c r="H350" s="17" t="str">
        <f>INDEX(Employees!$B$2:$B$17,MATCH(B350,Employees!$A$2:$A$17,0))</f>
        <v>Skyler</v>
      </c>
      <c r="I350" s="17" t="str">
        <f>INDEX(Employees!$C$2:$C$17,MATCH(B350,Employees!$A$2:$A$17,0))</f>
        <v>Receiving Clerk</v>
      </c>
      <c r="J350" s="25">
        <f t="shared" si="10"/>
        <v>24.545454545454547</v>
      </c>
      <c r="K350" s="19">
        <f>IF(J350=0,0,J350/INDEX('Labor Dashboard'!$C$36:$C$39,MATCH(E350,'Labor Dashboard'!$B$36:$B$39,0)))</f>
        <v>0.81818181818181823</v>
      </c>
      <c r="L350" s="18">
        <f t="shared" si="11"/>
        <v>5</v>
      </c>
      <c r="M350" s="20">
        <f>G350*INDEX(Employees!$E$2:$E$17,MATCH(B350,Employees!$A$2:$A$17,0))</f>
        <v>118.8</v>
      </c>
    </row>
    <row r="351" spans="1:13" ht="18" x14ac:dyDescent="0.2">
      <c r="A351" s="17">
        <v>1237</v>
      </c>
      <c r="B351" s="17">
        <v>28</v>
      </c>
      <c r="C351" s="17" t="s">
        <v>177</v>
      </c>
      <c r="D351" s="17" t="s">
        <v>791</v>
      </c>
      <c r="E351" s="17" t="s">
        <v>796</v>
      </c>
      <c r="F351" s="17">
        <v>185</v>
      </c>
      <c r="G351" s="17">
        <v>7.6</v>
      </c>
      <c r="H351" s="17" t="str">
        <f>INDEX(Employees!$B$2:$B$17,MATCH(B351,Employees!$A$2:$A$17,0))</f>
        <v>Peyton</v>
      </c>
      <c r="I351" s="17" t="str">
        <f>INDEX(Employees!$C$2:$C$17,MATCH(B351,Employees!$A$2:$A$17,0))</f>
        <v>Cycle Counter</v>
      </c>
      <c r="J351" s="25">
        <f t="shared" si="10"/>
        <v>24.342105263157897</v>
      </c>
      <c r="K351" s="19">
        <f>IF(J351=0,0,J351/INDEX('Labor Dashboard'!$C$36:$C$39,MATCH(E351,'Labor Dashboard'!$B$36:$B$39,0)))</f>
        <v>0.97368421052631593</v>
      </c>
      <c r="L351" s="18">
        <f t="shared" si="11"/>
        <v>5</v>
      </c>
      <c r="M351" s="20">
        <f>G351*INDEX(Employees!$E$2:$E$17,MATCH(B351,Employees!$A$2:$A$17,0))</f>
        <v>136.79999999999998</v>
      </c>
    </row>
    <row r="352" spans="1:13" ht="18" x14ac:dyDescent="0.2">
      <c r="A352" s="17">
        <v>1238</v>
      </c>
      <c r="B352" s="17">
        <v>29</v>
      </c>
      <c r="C352" s="17" t="s">
        <v>177</v>
      </c>
      <c r="D352" s="17" t="s">
        <v>793</v>
      </c>
      <c r="E352" s="17" t="s">
        <v>796</v>
      </c>
      <c r="F352" s="17">
        <v>164</v>
      </c>
      <c r="G352" s="17">
        <v>7</v>
      </c>
      <c r="H352" s="17" t="str">
        <f>INDEX(Employees!$B$2:$B$17,MATCH(B352,Employees!$A$2:$A$17,0))</f>
        <v>Rowan</v>
      </c>
      <c r="I352" s="17" t="str">
        <f>INDEX(Employees!$C$2:$C$17,MATCH(B352,Employees!$A$2:$A$17,0))</f>
        <v>Cycle Counter</v>
      </c>
      <c r="J352" s="25">
        <f t="shared" si="10"/>
        <v>23.428571428571427</v>
      </c>
      <c r="K352" s="19">
        <f>IF(J352=0,0,J352/INDEX('Labor Dashboard'!$C$36:$C$39,MATCH(E352,'Labor Dashboard'!$B$36:$B$39,0)))</f>
        <v>0.93714285714285706</v>
      </c>
      <c r="L352" s="18">
        <f t="shared" si="11"/>
        <v>5</v>
      </c>
      <c r="M352" s="20">
        <f>G352*INDEX(Employees!$E$2:$E$17,MATCH(B352,Employees!$A$2:$A$17,0))</f>
        <v>126</v>
      </c>
    </row>
    <row r="353" spans="1:13" ht="18" x14ac:dyDescent="0.2">
      <c r="A353" s="17">
        <v>1239</v>
      </c>
      <c r="B353" s="17">
        <v>31</v>
      </c>
      <c r="C353" s="17" t="s">
        <v>177</v>
      </c>
      <c r="D353" s="17" t="s">
        <v>791</v>
      </c>
      <c r="E353" s="17" t="s">
        <v>794</v>
      </c>
      <c r="F353" s="17">
        <v>344</v>
      </c>
      <c r="G353" s="17">
        <v>7.1</v>
      </c>
      <c r="H353" s="17" t="str">
        <f>INDEX(Employees!$B$2:$B$17,MATCH(B353,Employees!$A$2:$A$17,0))</f>
        <v>Finley</v>
      </c>
      <c r="I353" s="17" t="str">
        <f>INDEX(Employees!$C$2:$C$17,MATCH(B353,Employees!$A$2:$A$17,0))</f>
        <v>Shift Supervisor</v>
      </c>
      <c r="J353" s="25">
        <f t="shared" si="10"/>
        <v>48.450704225352112</v>
      </c>
      <c r="K353" s="19">
        <f>IF(J353=0,0,J353/INDEX('Labor Dashboard'!$C$36:$C$39,MATCH(E353,'Labor Dashboard'!$B$36:$B$39,0)))</f>
        <v>1.0766823161189358</v>
      </c>
      <c r="L353" s="18">
        <f t="shared" si="11"/>
        <v>5</v>
      </c>
      <c r="M353" s="20">
        <f>G353*INDEX(Employees!$E$2:$E$17,MATCH(B353,Employees!$A$2:$A$17,0))</f>
        <v>170.39999999999998</v>
      </c>
    </row>
    <row r="354" spans="1:13" ht="18" x14ac:dyDescent="0.2">
      <c r="A354" s="17">
        <v>1240</v>
      </c>
      <c r="B354" s="17">
        <v>32</v>
      </c>
      <c r="C354" s="17" t="s">
        <v>177</v>
      </c>
      <c r="D354" s="17" t="s">
        <v>793</v>
      </c>
      <c r="E354" s="17" t="s">
        <v>795</v>
      </c>
      <c r="F354" s="17">
        <v>231</v>
      </c>
      <c r="G354" s="17">
        <v>8.1999999999999993</v>
      </c>
      <c r="H354" s="17" t="str">
        <f>INDEX(Employees!$B$2:$B$17,MATCH(B354,Employees!$A$2:$A$17,0))</f>
        <v>Sawyer</v>
      </c>
      <c r="I354" s="17" t="str">
        <f>INDEX(Employees!$C$2:$C$17,MATCH(B354,Employees!$A$2:$A$17,0))</f>
        <v>Shift Supervisor</v>
      </c>
      <c r="J354" s="25">
        <f t="shared" si="10"/>
        <v>28.170731707317074</v>
      </c>
      <c r="K354" s="19">
        <f>IF(J354=0,0,J354/INDEX('Labor Dashboard'!$C$36:$C$39,MATCH(E354,'Labor Dashboard'!$B$36:$B$39,0)))</f>
        <v>0.9390243902439025</v>
      </c>
      <c r="L354" s="18">
        <f t="shared" si="11"/>
        <v>5</v>
      </c>
      <c r="M354" s="20">
        <f>G354*INDEX(Employees!$E$2:$E$17,MATCH(B354,Employees!$A$2:$A$17,0))</f>
        <v>196.79999999999998</v>
      </c>
    </row>
    <row r="355" spans="1:13" ht="18" x14ac:dyDescent="0.2">
      <c r="A355" s="17">
        <v>1241</v>
      </c>
      <c r="B355" s="17">
        <v>17</v>
      </c>
      <c r="C355" s="17" t="s">
        <v>355</v>
      </c>
      <c r="D355" s="17" t="s">
        <v>791</v>
      </c>
      <c r="E355" s="17" t="s">
        <v>792</v>
      </c>
      <c r="F355" s="17">
        <v>430</v>
      </c>
      <c r="G355" s="17">
        <v>8.1999999999999993</v>
      </c>
      <c r="H355" s="17" t="str">
        <f>INDEX(Employees!$B$2:$B$17,MATCH(B355,Employees!$A$2:$A$17,0))</f>
        <v>Jordan</v>
      </c>
      <c r="I355" s="17" t="str">
        <f>INDEX(Employees!$C$2:$C$17,MATCH(B355,Employees!$A$2:$A$17,0))</f>
        <v>Picker</v>
      </c>
      <c r="J355" s="25">
        <f t="shared" si="10"/>
        <v>52.439024390243908</v>
      </c>
      <c r="K355" s="19">
        <f>IF(J355=0,0,J355/INDEX('Labor Dashboard'!$C$36:$C$39,MATCH(E355,'Labor Dashboard'!$B$36:$B$39,0)))</f>
        <v>0.95343680709534373</v>
      </c>
      <c r="L355" s="18">
        <f t="shared" si="11"/>
        <v>5</v>
      </c>
      <c r="M355" s="20">
        <f>G355*INDEX(Employees!$E$2:$E$17,MATCH(B355,Employees!$A$2:$A$17,0))</f>
        <v>139.39999999999998</v>
      </c>
    </row>
    <row r="356" spans="1:13" ht="18" x14ac:dyDescent="0.2">
      <c r="A356" s="17">
        <v>1242</v>
      </c>
      <c r="B356" s="17">
        <v>18</v>
      </c>
      <c r="C356" s="17" t="s">
        <v>355</v>
      </c>
      <c r="D356" s="17" t="s">
        <v>793</v>
      </c>
      <c r="E356" s="17" t="s">
        <v>792</v>
      </c>
      <c r="F356" s="17">
        <v>472</v>
      </c>
      <c r="G356" s="17">
        <v>8.3000000000000007</v>
      </c>
      <c r="H356" s="17" t="str">
        <f>INDEX(Employees!$B$2:$B$17,MATCH(B356,Employees!$A$2:$A$17,0))</f>
        <v>Casey</v>
      </c>
      <c r="I356" s="17" t="str">
        <f>INDEX(Employees!$C$2:$C$17,MATCH(B356,Employees!$A$2:$A$17,0))</f>
        <v>Picker</v>
      </c>
      <c r="J356" s="25">
        <f t="shared" si="10"/>
        <v>56.867469879518069</v>
      </c>
      <c r="K356" s="19">
        <f>IF(J356=0,0,J356/INDEX('Labor Dashboard'!$C$36:$C$39,MATCH(E356,'Labor Dashboard'!$B$36:$B$39,0)))</f>
        <v>1.0339539978094194</v>
      </c>
      <c r="L356" s="18">
        <f t="shared" si="11"/>
        <v>5</v>
      </c>
      <c r="M356" s="20">
        <f>G356*INDEX(Employees!$E$2:$E$17,MATCH(B356,Employees!$A$2:$A$17,0))</f>
        <v>141.10000000000002</v>
      </c>
    </row>
    <row r="357" spans="1:13" ht="18" x14ac:dyDescent="0.2">
      <c r="A357" s="17">
        <v>1243</v>
      </c>
      <c r="B357" s="17">
        <v>19</v>
      </c>
      <c r="C357" s="17" t="s">
        <v>355</v>
      </c>
      <c r="D357" s="17" t="s">
        <v>793</v>
      </c>
      <c r="E357" s="17" t="s">
        <v>792</v>
      </c>
      <c r="F357" s="17">
        <v>440</v>
      </c>
      <c r="G357" s="17">
        <v>8.3000000000000007</v>
      </c>
      <c r="H357" s="17" t="str">
        <f>INDEX(Employees!$B$2:$B$17,MATCH(B357,Employees!$A$2:$A$17,0))</f>
        <v>Morgan</v>
      </c>
      <c r="I357" s="17" t="str">
        <f>INDEX(Employees!$C$2:$C$17,MATCH(B357,Employees!$A$2:$A$17,0))</f>
        <v>Picker</v>
      </c>
      <c r="J357" s="25">
        <f t="shared" si="10"/>
        <v>53.012048192771083</v>
      </c>
      <c r="K357" s="19">
        <f>IF(J357=0,0,J357/INDEX('Labor Dashboard'!$C$36:$C$39,MATCH(E357,'Labor Dashboard'!$B$36:$B$39,0)))</f>
        <v>0.96385542168674698</v>
      </c>
      <c r="L357" s="18">
        <f t="shared" si="11"/>
        <v>5</v>
      </c>
      <c r="M357" s="20">
        <f>G357*INDEX(Employees!$E$2:$E$17,MATCH(B357,Employees!$A$2:$A$17,0))</f>
        <v>141.10000000000002</v>
      </c>
    </row>
    <row r="358" spans="1:13" ht="18" x14ac:dyDescent="0.2">
      <c r="A358" s="17">
        <v>1244</v>
      </c>
      <c r="B358" s="17">
        <v>20</v>
      </c>
      <c r="C358" s="17" t="s">
        <v>355</v>
      </c>
      <c r="D358" s="17" t="s">
        <v>793</v>
      </c>
      <c r="E358" s="17" t="s">
        <v>792</v>
      </c>
      <c r="F358" s="17">
        <v>470</v>
      </c>
      <c r="G358" s="17">
        <v>7.9</v>
      </c>
      <c r="H358" s="17" t="str">
        <f>INDEX(Employees!$B$2:$B$17,MATCH(B358,Employees!$A$2:$A$17,0))</f>
        <v>Taylor</v>
      </c>
      <c r="I358" s="17" t="str">
        <f>INDEX(Employees!$C$2:$C$17,MATCH(B358,Employees!$A$2:$A$17,0))</f>
        <v>Picker</v>
      </c>
      <c r="J358" s="25">
        <f t="shared" si="10"/>
        <v>59.493670886075947</v>
      </c>
      <c r="K358" s="19">
        <f>IF(J358=0,0,J358/INDEX('Labor Dashboard'!$C$36:$C$39,MATCH(E358,'Labor Dashboard'!$B$36:$B$39,0)))</f>
        <v>1.0817031070195626</v>
      </c>
      <c r="L358" s="18">
        <f t="shared" si="11"/>
        <v>5</v>
      </c>
      <c r="M358" s="20">
        <f>G358*INDEX(Employees!$E$2:$E$17,MATCH(B358,Employees!$A$2:$A$17,0))</f>
        <v>134.30000000000001</v>
      </c>
    </row>
    <row r="359" spans="1:13" ht="18" x14ac:dyDescent="0.2">
      <c r="A359" s="17">
        <v>1245</v>
      </c>
      <c r="B359" s="17">
        <v>22</v>
      </c>
      <c r="C359" s="17" t="s">
        <v>355</v>
      </c>
      <c r="D359" s="17" t="s">
        <v>793</v>
      </c>
      <c r="E359" s="17" t="s">
        <v>794</v>
      </c>
      <c r="F359" s="17">
        <v>370</v>
      </c>
      <c r="G359" s="17">
        <v>6.8</v>
      </c>
      <c r="H359" s="17" t="str">
        <f>INDEX(Employees!$B$2:$B$17,MATCH(B359,Employees!$A$2:$A$17,0))</f>
        <v>Avery</v>
      </c>
      <c r="I359" s="17" t="str">
        <f>INDEX(Employees!$C$2:$C$17,MATCH(B359,Employees!$A$2:$A$17,0))</f>
        <v>Packer</v>
      </c>
      <c r="J359" s="25">
        <f t="shared" si="10"/>
        <v>54.411764705882355</v>
      </c>
      <c r="K359" s="19">
        <f>IF(J359=0,0,J359/INDEX('Labor Dashboard'!$C$36:$C$39,MATCH(E359,'Labor Dashboard'!$B$36:$B$39,0)))</f>
        <v>1.2091503267973858</v>
      </c>
      <c r="L359" s="18">
        <f t="shared" si="11"/>
        <v>5</v>
      </c>
      <c r="M359" s="20">
        <f>G359*INDEX(Employees!$E$2:$E$17,MATCH(B359,Employees!$A$2:$A$17,0))</f>
        <v>115.6</v>
      </c>
    </row>
    <row r="360" spans="1:13" ht="18" x14ac:dyDescent="0.2">
      <c r="A360" s="17">
        <v>1246</v>
      </c>
      <c r="B360" s="17">
        <v>23</v>
      </c>
      <c r="C360" s="17" t="s">
        <v>355</v>
      </c>
      <c r="D360" s="17" t="s">
        <v>791</v>
      </c>
      <c r="E360" s="17" t="s">
        <v>794</v>
      </c>
      <c r="F360" s="17">
        <v>463</v>
      </c>
      <c r="G360" s="17">
        <v>8.5</v>
      </c>
      <c r="H360" s="17" t="str">
        <f>INDEX(Employees!$B$2:$B$17,MATCH(B360,Employees!$A$2:$A$17,0))</f>
        <v>Cameron</v>
      </c>
      <c r="I360" s="17" t="str">
        <f>INDEX(Employees!$C$2:$C$17,MATCH(B360,Employees!$A$2:$A$17,0))</f>
        <v>Packer</v>
      </c>
      <c r="J360" s="25">
        <f t="shared" si="10"/>
        <v>54.470588235294116</v>
      </c>
      <c r="K360" s="19">
        <f>IF(J360=0,0,J360/INDEX('Labor Dashboard'!$C$36:$C$39,MATCH(E360,'Labor Dashboard'!$B$36:$B$39,0)))</f>
        <v>1.2104575163398692</v>
      </c>
      <c r="L360" s="18">
        <f t="shared" si="11"/>
        <v>5</v>
      </c>
      <c r="M360" s="20">
        <f>G360*INDEX(Employees!$E$2:$E$17,MATCH(B360,Employees!$A$2:$A$17,0))</f>
        <v>144.5</v>
      </c>
    </row>
    <row r="361" spans="1:13" ht="18" x14ac:dyDescent="0.2">
      <c r="A361" s="17">
        <v>1247</v>
      </c>
      <c r="B361" s="17">
        <v>24</v>
      </c>
      <c r="C361" s="17" t="s">
        <v>355</v>
      </c>
      <c r="D361" s="17" t="s">
        <v>791</v>
      </c>
      <c r="E361" s="17" t="s">
        <v>795</v>
      </c>
      <c r="F361" s="17">
        <v>219</v>
      </c>
      <c r="G361" s="17">
        <v>7</v>
      </c>
      <c r="H361" s="17" t="str">
        <f>INDEX(Employees!$B$2:$B$17,MATCH(B361,Employees!$A$2:$A$17,0))</f>
        <v>Dakota</v>
      </c>
      <c r="I361" s="17" t="str">
        <f>INDEX(Employees!$C$2:$C$17,MATCH(B361,Employees!$A$2:$A$17,0))</f>
        <v>Forklift Operator</v>
      </c>
      <c r="J361" s="25">
        <f t="shared" si="10"/>
        <v>31.285714285714285</v>
      </c>
      <c r="K361" s="19">
        <f>IF(J361=0,0,J361/INDEX('Labor Dashboard'!$C$36:$C$39,MATCH(E361,'Labor Dashboard'!$B$36:$B$39,0)))</f>
        <v>1.0428571428571429</v>
      </c>
      <c r="L361" s="18">
        <f t="shared" si="11"/>
        <v>5</v>
      </c>
      <c r="M361" s="20">
        <f>G361*INDEX(Employees!$E$2:$E$17,MATCH(B361,Employees!$A$2:$A$17,0))</f>
        <v>136.5</v>
      </c>
    </row>
    <row r="362" spans="1:13" ht="18" x14ac:dyDescent="0.2">
      <c r="A362" s="17">
        <v>1248</v>
      </c>
      <c r="B362" s="17">
        <v>26</v>
      </c>
      <c r="C362" s="17" t="s">
        <v>355</v>
      </c>
      <c r="D362" s="17" t="s">
        <v>793</v>
      </c>
      <c r="E362" s="17" t="s">
        <v>795</v>
      </c>
      <c r="F362" s="17">
        <v>178</v>
      </c>
      <c r="G362" s="17">
        <v>6.7</v>
      </c>
      <c r="H362" s="17" t="str">
        <f>INDEX(Employees!$B$2:$B$17,MATCH(B362,Employees!$A$2:$A$17,0))</f>
        <v>Reese</v>
      </c>
      <c r="I362" s="17" t="str">
        <f>INDEX(Employees!$C$2:$C$17,MATCH(B362,Employees!$A$2:$A$17,0))</f>
        <v>Receiving Clerk</v>
      </c>
      <c r="J362" s="25">
        <f t="shared" si="10"/>
        <v>26.567164179104477</v>
      </c>
      <c r="K362" s="19">
        <f>IF(J362=0,0,J362/INDEX('Labor Dashboard'!$C$36:$C$39,MATCH(E362,'Labor Dashboard'!$B$36:$B$39,0)))</f>
        <v>0.88557213930348255</v>
      </c>
      <c r="L362" s="18">
        <f t="shared" si="11"/>
        <v>5</v>
      </c>
      <c r="M362" s="20">
        <f>G362*INDEX(Employees!$E$2:$E$17,MATCH(B362,Employees!$A$2:$A$17,0))</f>
        <v>120.60000000000001</v>
      </c>
    </row>
    <row r="363" spans="1:13" ht="18" x14ac:dyDescent="0.2">
      <c r="A363" s="17">
        <v>1249</v>
      </c>
      <c r="B363" s="17">
        <v>28</v>
      </c>
      <c r="C363" s="17" t="s">
        <v>355</v>
      </c>
      <c r="D363" s="17" t="s">
        <v>791</v>
      </c>
      <c r="E363" s="17" t="s">
        <v>796</v>
      </c>
      <c r="F363" s="17">
        <v>189</v>
      </c>
      <c r="G363" s="17">
        <v>8</v>
      </c>
      <c r="H363" s="17" t="str">
        <f>INDEX(Employees!$B$2:$B$17,MATCH(B363,Employees!$A$2:$A$17,0))</f>
        <v>Peyton</v>
      </c>
      <c r="I363" s="17" t="str">
        <f>INDEX(Employees!$C$2:$C$17,MATCH(B363,Employees!$A$2:$A$17,0))</f>
        <v>Cycle Counter</v>
      </c>
      <c r="J363" s="25">
        <f t="shared" si="10"/>
        <v>23.625</v>
      </c>
      <c r="K363" s="19">
        <f>IF(J363=0,0,J363/INDEX('Labor Dashboard'!$C$36:$C$39,MATCH(E363,'Labor Dashboard'!$B$36:$B$39,0)))</f>
        <v>0.94499999999999995</v>
      </c>
      <c r="L363" s="18">
        <f t="shared" si="11"/>
        <v>5</v>
      </c>
      <c r="M363" s="20">
        <f>G363*INDEX(Employees!$E$2:$E$17,MATCH(B363,Employees!$A$2:$A$17,0))</f>
        <v>144</v>
      </c>
    </row>
    <row r="364" spans="1:13" ht="18" x14ac:dyDescent="0.2">
      <c r="A364" s="17">
        <v>1250</v>
      </c>
      <c r="B364" s="17">
        <v>29</v>
      </c>
      <c r="C364" s="17" t="s">
        <v>355</v>
      </c>
      <c r="D364" s="17" t="s">
        <v>793</v>
      </c>
      <c r="E364" s="17" t="s">
        <v>796</v>
      </c>
      <c r="F364" s="17">
        <v>159</v>
      </c>
      <c r="G364" s="17">
        <v>6.7</v>
      </c>
      <c r="H364" s="17" t="str">
        <f>INDEX(Employees!$B$2:$B$17,MATCH(B364,Employees!$A$2:$A$17,0))</f>
        <v>Rowan</v>
      </c>
      <c r="I364" s="17" t="str">
        <f>INDEX(Employees!$C$2:$C$17,MATCH(B364,Employees!$A$2:$A$17,0))</f>
        <v>Cycle Counter</v>
      </c>
      <c r="J364" s="25">
        <f t="shared" si="10"/>
        <v>23.731343283582088</v>
      </c>
      <c r="K364" s="19">
        <f>IF(J364=0,0,J364/INDEX('Labor Dashboard'!$C$36:$C$39,MATCH(E364,'Labor Dashboard'!$B$36:$B$39,0)))</f>
        <v>0.9492537313432835</v>
      </c>
      <c r="L364" s="18">
        <f t="shared" si="11"/>
        <v>5</v>
      </c>
      <c r="M364" s="20">
        <f>G364*INDEX(Employees!$E$2:$E$17,MATCH(B364,Employees!$A$2:$A$17,0))</f>
        <v>120.60000000000001</v>
      </c>
    </row>
    <row r="365" spans="1:13" ht="18" x14ac:dyDescent="0.2">
      <c r="A365" s="17">
        <v>1251</v>
      </c>
      <c r="B365" s="17">
        <v>30</v>
      </c>
      <c r="C365" s="17" t="s">
        <v>355</v>
      </c>
      <c r="D365" s="17" t="s">
        <v>793</v>
      </c>
      <c r="E365" s="17" t="s">
        <v>792</v>
      </c>
      <c r="F365" s="17">
        <v>302</v>
      </c>
      <c r="G365" s="17">
        <v>6.6</v>
      </c>
      <c r="H365" s="17" t="str">
        <f>INDEX(Employees!$B$2:$B$17,MATCH(B365,Employees!$A$2:$A$17,0))</f>
        <v>Emerson</v>
      </c>
      <c r="I365" s="17" t="str">
        <f>INDEX(Employees!$C$2:$C$17,MATCH(B365,Employees!$A$2:$A$17,0))</f>
        <v>Shift Supervisor</v>
      </c>
      <c r="J365" s="25">
        <f t="shared" si="10"/>
        <v>45.757575757575758</v>
      </c>
      <c r="K365" s="19">
        <f>IF(J365=0,0,J365/INDEX('Labor Dashboard'!$C$36:$C$39,MATCH(E365,'Labor Dashboard'!$B$36:$B$39,0)))</f>
        <v>0.83195592286501374</v>
      </c>
      <c r="L365" s="18">
        <f t="shared" si="11"/>
        <v>5</v>
      </c>
      <c r="M365" s="20">
        <f>G365*INDEX(Employees!$E$2:$E$17,MATCH(B365,Employees!$A$2:$A$17,0))</f>
        <v>158.39999999999998</v>
      </c>
    </row>
    <row r="366" spans="1:13" ht="18" x14ac:dyDescent="0.2">
      <c r="A366" s="17">
        <v>1252</v>
      </c>
      <c r="B366" s="17">
        <v>32</v>
      </c>
      <c r="C366" s="17" t="s">
        <v>355</v>
      </c>
      <c r="D366" s="17" t="s">
        <v>791</v>
      </c>
      <c r="E366" s="17" t="s">
        <v>796</v>
      </c>
      <c r="F366" s="17">
        <v>176</v>
      </c>
      <c r="G366" s="17">
        <v>7.6</v>
      </c>
      <c r="H366" s="17" t="str">
        <f>INDEX(Employees!$B$2:$B$17,MATCH(B366,Employees!$A$2:$A$17,0))</f>
        <v>Sawyer</v>
      </c>
      <c r="I366" s="17" t="str">
        <f>INDEX(Employees!$C$2:$C$17,MATCH(B366,Employees!$A$2:$A$17,0))</f>
        <v>Shift Supervisor</v>
      </c>
      <c r="J366" s="25">
        <f t="shared" si="10"/>
        <v>23.157894736842106</v>
      </c>
      <c r="K366" s="19">
        <f>IF(J366=0,0,J366/INDEX('Labor Dashboard'!$C$36:$C$39,MATCH(E366,'Labor Dashboard'!$B$36:$B$39,0)))</f>
        <v>0.9263157894736842</v>
      </c>
      <c r="L366" s="18">
        <f t="shared" si="11"/>
        <v>5</v>
      </c>
      <c r="M366" s="20">
        <f>G366*INDEX(Employees!$E$2:$E$17,MATCH(B366,Employees!$A$2:$A$17,0))</f>
        <v>182.39999999999998</v>
      </c>
    </row>
    <row r="367" spans="1:13" ht="18" x14ac:dyDescent="0.2">
      <c r="A367" s="17">
        <v>1253</v>
      </c>
      <c r="B367" s="17">
        <v>17</v>
      </c>
      <c r="C367" s="17" t="s">
        <v>352</v>
      </c>
      <c r="D367" s="17" t="s">
        <v>791</v>
      </c>
      <c r="E367" s="17" t="s">
        <v>792</v>
      </c>
      <c r="F367" s="17">
        <v>364</v>
      </c>
      <c r="G367" s="17">
        <v>7.9</v>
      </c>
      <c r="H367" s="17" t="str">
        <f>INDEX(Employees!$B$2:$B$17,MATCH(B367,Employees!$A$2:$A$17,0))</f>
        <v>Jordan</v>
      </c>
      <c r="I367" s="17" t="str">
        <f>INDEX(Employees!$C$2:$C$17,MATCH(B367,Employees!$A$2:$A$17,0))</f>
        <v>Picker</v>
      </c>
      <c r="J367" s="25">
        <f t="shared" si="10"/>
        <v>46.075949367088604</v>
      </c>
      <c r="K367" s="19">
        <f>IF(J367=0,0,J367/INDEX('Labor Dashboard'!$C$36:$C$39,MATCH(E367,'Labor Dashboard'!$B$36:$B$39,0)))</f>
        <v>0.8377445339470655</v>
      </c>
      <c r="L367" s="18">
        <f t="shared" si="11"/>
        <v>5</v>
      </c>
      <c r="M367" s="20">
        <f>G367*INDEX(Employees!$E$2:$E$17,MATCH(B367,Employees!$A$2:$A$17,0))</f>
        <v>134.30000000000001</v>
      </c>
    </row>
    <row r="368" spans="1:13" ht="18" x14ac:dyDescent="0.2">
      <c r="A368" s="17">
        <v>1254</v>
      </c>
      <c r="B368" s="17">
        <v>18</v>
      </c>
      <c r="C368" s="17" t="s">
        <v>352</v>
      </c>
      <c r="D368" s="17" t="s">
        <v>793</v>
      </c>
      <c r="E368" s="17" t="s">
        <v>792</v>
      </c>
      <c r="F368" s="17">
        <v>510</v>
      </c>
      <c r="G368" s="17">
        <v>8</v>
      </c>
      <c r="H368" s="17" t="str">
        <f>INDEX(Employees!$B$2:$B$17,MATCH(B368,Employees!$A$2:$A$17,0))</f>
        <v>Casey</v>
      </c>
      <c r="I368" s="17" t="str">
        <f>INDEX(Employees!$C$2:$C$17,MATCH(B368,Employees!$A$2:$A$17,0))</f>
        <v>Picker</v>
      </c>
      <c r="J368" s="25">
        <f t="shared" si="10"/>
        <v>63.75</v>
      </c>
      <c r="K368" s="19">
        <f>IF(J368=0,0,J368/INDEX('Labor Dashboard'!$C$36:$C$39,MATCH(E368,'Labor Dashboard'!$B$36:$B$39,0)))</f>
        <v>1.1590909090909092</v>
      </c>
      <c r="L368" s="18">
        <f t="shared" si="11"/>
        <v>5</v>
      </c>
      <c r="M368" s="20">
        <f>G368*INDEX(Employees!$E$2:$E$17,MATCH(B368,Employees!$A$2:$A$17,0))</f>
        <v>136</v>
      </c>
    </row>
    <row r="369" spans="1:13" ht="18" x14ac:dyDescent="0.2">
      <c r="A369" s="17">
        <v>1255</v>
      </c>
      <c r="B369" s="17">
        <v>20</v>
      </c>
      <c r="C369" s="17" t="s">
        <v>352</v>
      </c>
      <c r="D369" s="17" t="s">
        <v>791</v>
      </c>
      <c r="E369" s="17" t="s">
        <v>792</v>
      </c>
      <c r="F369" s="17">
        <v>373</v>
      </c>
      <c r="G369" s="17">
        <v>7.4</v>
      </c>
      <c r="H369" s="17" t="str">
        <f>INDEX(Employees!$B$2:$B$17,MATCH(B369,Employees!$A$2:$A$17,0))</f>
        <v>Taylor</v>
      </c>
      <c r="I369" s="17" t="str">
        <f>INDEX(Employees!$C$2:$C$17,MATCH(B369,Employees!$A$2:$A$17,0))</f>
        <v>Picker</v>
      </c>
      <c r="J369" s="25">
        <f t="shared" si="10"/>
        <v>50.405405405405403</v>
      </c>
      <c r="K369" s="19">
        <f>IF(J369=0,0,J369/INDEX('Labor Dashboard'!$C$36:$C$39,MATCH(E369,'Labor Dashboard'!$B$36:$B$39,0)))</f>
        <v>0.91646191646191644</v>
      </c>
      <c r="L369" s="18">
        <f t="shared" si="11"/>
        <v>5</v>
      </c>
      <c r="M369" s="20">
        <f>G369*INDEX(Employees!$E$2:$E$17,MATCH(B369,Employees!$A$2:$A$17,0))</f>
        <v>125.80000000000001</v>
      </c>
    </row>
    <row r="370" spans="1:13" ht="18" x14ac:dyDescent="0.2">
      <c r="A370" s="17">
        <v>1256</v>
      </c>
      <c r="B370" s="17">
        <v>21</v>
      </c>
      <c r="C370" s="17" t="s">
        <v>352</v>
      </c>
      <c r="D370" s="17" t="s">
        <v>793</v>
      </c>
      <c r="E370" s="17" t="s">
        <v>794</v>
      </c>
      <c r="F370" s="17">
        <v>301</v>
      </c>
      <c r="G370" s="17">
        <v>7</v>
      </c>
      <c r="H370" s="17" t="str">
        <f>INDEX(Employees!$B$2:$B$17,MATCH(B370,Employees!$A$2:$A$17,0))</f>
        <v>Riley</v>
      </c>
      <c r="I370" s="17" t="str">
        <f>INDEX(Employees!$C$2:$C$17,MATCH(B370,Employees!$A$2:$A$17,0))</f>
        <v>Packer</v>
      </c>
      <c r="J370" s="25">
        <f t="shared" si="10"/>
        <v>43</v>
      </c>
      <c r="K370" s="19">
        <f>IF(J370=0,0,J370/INDEX('Labor Dashboard'!$C$36:$C$39,MATCH(E370,'Labor Dashboard'!$B$36:$B$39,0)))</f>
        <v>0.9555555555555556</v>
      </c>
      <c r="L370" s="18">
        <f t="shared" si="11"/>
        <v>5</v>
      </c>
      <c r="M370" s="20">
        <f>G370*INDEX(Employees!$E$2:$E$17,MATCH(B370,Employees!$A$2:$A$17,0))</f>
        <v>119</v>
      </c>
    </row>
    <row r="371" spans="1:13" ht="18" x14ac:dyDescent="0.2">
      <c r="A371" s="17">
        <v>1257</v>
      </c>
      <c r="B371" s="17">
        <v>22</v>
      </c>
      <c r="C371" s="17" t="s">
        <v>352</v>
      </c>
      <c r="D371" s="17" t="s">
        <v>791</v>
      </c>
      <c r="E371" s="17" t="s">
        <v>794</v>
      </c>
      <c r="F371" s="17">
        <v>376</v>
      </c>
      <c r="G371" s="17">
        <v>7.5</v>
      </c>
      <c r="H371" s="17" t="str">
        <f>INDEX(Employees!$B$2:$B$17,MATCH(B371,Employees!$A$2:$A$17,0))</f>
        <v>Avery</v>
      </c>
      <c r="I371" s="17" t="str">
        <f>INDEX(Employees!$C$2:$C$17,MATCH(B371,Employees!$A$2:$A$17,0))</f>
        <v>Packer</v>
      </c>
      <c r="J371" s="25">
        <f t="shared" si="10"/>
        <v>50.133333333333333</v>
      </c>
      <c r="K371" s="19">
        <f>IF(J371=0,0,J371/INDEX('Labor Dashboard'!$C$36:$C$39,MATCH(E371,'Labor Dashboard'!$B$36:$B$39,0)))</f>
        <v>1.114074074074074</v>
      </c>
      <c r="L371" s="18">
        <f t="shared" si="11"/>
        <v>5</v>
      </c>
      <c r="M371" s="20">
        <f>G371*INDEX(Employees!$E$2:$E$17,MATCH(B371,Employees!$A$2:$A$17,0))</f>
        <v>127.5</v>
      </c>
    </row>
    <row r="372" spans="1:13" ht="18" x14ac:dyDescent="0.2">
      <c r="A372" s="17">
        <v>1258</v>
      </c>
      <c r="B372" s="17">
        <v>23</v>
      </c>
      <c r="C372" s="17" t="s">
        <v>352</v>
      </c>
      <c r="D372" s="17" t="s">
        <v>793</v>
      </c>
      <c r="E372" s="17" t="s">
        <v>794</v>
      </c>
      <c r="F372" s="17">
        <v>405</v>
      </c>
      <c r="G372" s="17">
        <v>8.3000000000000007</v>
      </c>
      <c r="H372" s="17" t="str">
        <f>INDEX(Employees!$B$2:$B$17,MATCH(B372,Employees!$A$2:$A$17,0))</f>
        <v>Cameron</v>
      </c>
      <c r="I372" s="17" t="str">
        <f>INDEX(Employees!$C$2:$C$17,MATCH(B372,Employees!$A$2:$A$17,0))</f>
        <v>Packer</v>
      </c>
      <c r="J372" s="25">
        <f t="shared" si="10"/>
        <v>48.795180722891565</v>
      </c>
      <c r="K372" s="19">
        <f>IF(J372=0,0,J372/INDEX('Labor Dashboard'!$C$36:$C$39,MATCH(E372,'Labor Dashboard'!$B$36:$B$39,0)))</f>
        <v>1.0843373493975903</v>
      </c>
      <c r="L372" s="18">
        <f t="shared" si="11"/>
        <v>5</v>
      </c>
      <c r="M372" s="20">
        <f>G372*INDEX(Employees!$E$2:$E$17,MATCH(B372,Employees!$A$2:$A$17,0))</f>
        <v>141.10000000000002</v>
      </c>
    </row>
    <row r="373" spans="1:13" ht="18" x14ac:dyDescent="0.2">
      <c r="A373" s="17">
        <v>1259</v>
      </c>
      <c r="B373" s="17">
        <v>24</v>
      </c>
      <c r="C373" s="17" t="s">
        <v>352</v>
      </c>
      <c r="D373" s="17" t="s">
        <v>793</v>
      </c>
      <c r="E373" s="17" t="s">
        <v>795</v>
      </c>
      <c r="F373" s="17">
        <v>249</v>
      </c>
      <c r="G373" s="17">
        <v>8.1</v>
      </c>
      <c r="H373" s="17" t="str">
        <f>INDEX(Employees!$B$2:$B$17,MATCH(B373,Employees!$A$2:$A$17,0))</f>
        <v>Dakota</v>
      </c>
      <c r="I373" s="17" t="str">
        <f>INDEX(Employees!$C$2:$C$17,MATCH(B373,Employees!$A$2:$A$17,0))</f>
        <v>Forklift Operator</v>
      </c>
      <c r="J373" s="25">
        <f t="shared" si="10"/>
        <v>30.74074074074074</v>
      </c>
      <c r="K373" s="19">
        <f>IF(J373=0,0,J373/INDEX('Labor Dashboard'!$C$36:$C$39,MATCH(E373,'Labor Dashboard'!$B$36:$B$39,0)))</f>
        <v>1.0246913580246912</v>
      </c>
      <c r="L373" s="18">
        <f t="shared" si="11"/>
        <v>5</v>
      </c>
      <c r="M373" s="20">
        <f>G373*INDEX(Employees!$E$2:$E$17,MATCH(B373,Employees!$A$2:$A$17,0))</f>
        <v>157.94999999999999</v>
      </c>
    </row>
    <row r="374" spans="1:13" ht="18" x14ac:dyDescent="0.2">
      <c r="A374" s="17">
        <v>1260</v>
      </c>
      <c r="B374" s="17">
        <v>25</v>
      </c>
      <c r="C374" s="17" t="s">
        <v>352</v>
      </c>
      <c r="D374" s="17" t="s">
        <v>793</v>
      </c>
      <c r="E374" s="17" t="s">
        <v>795</v>
      </c>
      <c r="F374" s="17">
        <v>241</v>
      </c>
      <c r="G374" s="17">
        <v>8.1999999999999993</v>
      </c>
      <c r="H374" s="17" t="str">
        <f>INDEX(Employees!$B$2:$B$17,MATCH(B374,Employees!$A$2:$A$17,0))</f>
        <v>Hayden</v>
      </c>
      <c r="I374" s="17" t="str">
        <f>INDEX(Employees!$C$2:$C$17,MATCH(B374,Employees!$A$2:$A$17,0))</f>
        <v>Forklift Operator</v>
      </c>
      <c r="J374" s="25">
        <f t="shared" si="10"/>
        <v>29.390243902439028</v>
      </c>
      <c r="K374" s="19">
        <f>IF(J374=0,0,J374/INDEX('Labor Dashboard'!$C$36:$C$39,MATCH(E374,'Labor Dashboard'!$B$36:$B$39,0)))</f>
        <v>0.97967479674796765</v>
      </c>
      <c r="L374" s="18">
        <f t="shared" si="11"/>
        <v>5</v>
      </c>
      <c r="M374" s="20">
        <f>G374*INDEX(Employees!$E$2:$E$17,MATCH(B374,Employees!$A$2:$A$17,0))</f>
        <v>159.89999999999998</v>
      </c>
    </row>
    <row r="375" spans="1:13" ht="18" x14ac:dyDescent="0.2">
      <c r="A375" s="17">
        <v>1261</v>
      </c>
      <c r="B375" s="17">
        <v>26</v>
      </c>
      <c r="C375" s="17" t="s">
        <v>352</v>
      </c>
      <c r="D375" s="17" t="s">
        <v>791</v>
      </c>
      <c r="E375" s="17" t="s">
        <v>795</v>
      </c>
      <c r="F375" s="17">
        <v>210</v>
      </c>
      <c r="G375" s="17">
        <v>7.7</v>
      </c>
      <c r="H375" s="17" t="str">
        <f>INDEX(Employees!$B$2:$B$17,MATCH(B375,Employees!$A$2:$A$17,0))</f>
        <v>Reese</v>
      </c>
      <c r="I375" s="17" t="str">
        <f>INDEX(Employees!$C$2:$C$17,MATCH(B375,Employees!$A$2:$A$17,0))</f>
        <v>Receiving Clerk</v>
      </c>
      <c r="J375" s="25">
        <f t="shared" si="10"/>
        <v>27.272727272727273</v>
      </c>
      <c r="K375" s="19">
        <f>IF(J375=0,0,J375/INDEX('Labor Dashboard'!$C$36:$C$39,MATCH(E375,'Labor Dashboard'!$B$36:$B$39,0)))</f>
        <v>0.90909090909090906</v>
      </c>
      <c r="L375" s="18">
        <f t="shared" si="11"/>
        <v>5</v>
      </c>
      <c r="M375" s="20">
        <f>G375*INDEX(Employees!$E$2:$E$17,MATCH(B375,Employees!$A$2:$A$17,0))</f>
        <v>138.6</v>
      </c>
    </row>
    <row r="376" spans="1:13" ht="18" x14ac:dyDescent="0.2">
      <c r="A376" s="17">
        <v>1262</v>
      </c>
      <c r="B376" s="17">
        <v>27</v>
      </c>
      <c r="C376" s="17" t="s">
        <v>352</v>
      </c>
      <c r="D376" s="17" t="s">
        <v>793</v>
      </c>
      <c r="E376" s="17" t="s">
        <v>795</v>
      </c>
      <c r="F376" s="17">
        <v>170</v>
      </c>
      <c r="G376" s="17">
        <v>6.9</v>
      </c>
      <c r="H376" s="17" t="str">
        <f>INDEX(Employees!$B$2:$B$17,MATCH(B376,Employees!$A$2:$A$17,0))</f>
        <v>Skyler</v>
      </c>
      <c r="I376" s="17" t="str">
        <f>INDEX(Employees!$C$2:$C$17,MATCH(B376,Employees!$A$2:$A$17,0))</f>
        <v>Receiving Clerk</v>
      </c>
      <c r="J376" s="25">
        <f t="shared" si="10"/>
        <v>24.637681159420289</v>
      </c>
      <c r="K376" s="19">
        <f>IF(J376=0,0,J376/INDEX('Labor Dashboard'!$C$36:$C$39,MATCH(E376,'Labor Dashboard'!$B$36:$B$39,0)))</f>
        <v>0.82125603864734298</v>
      </c>
      <c r="L376" s="18">
        <f t="shared" si="11"/>
        <v>5</v>
      </c>
      <c r="M376" s="20">
        <f>G376*INDEX(Employees!$E$2:$E$17,MATCH(B376,Employees!$A$2:$A$17,0))</f>
        <v>124.2</v>
      </c>
    </row>
    <row r="377" spans="1:13" ht="18" x14ac:dyDescent="0.2">
      <c r="A377" s="17">
        <v>1263</v>
      </c>
      <c r="B377" s="17">
        <v>28</v>
      </c>
      <c r="C377" s="17" t="s">
        <v>352</v>
      </c>
      <c r="D377" s="17" t="s">
        <v>791</v>
      </c>
      <c r="E377" s="17" t="s">
        <v>796</v>
      </c>
      <c r="F377" s="17">
        <v>184</v>
      </c>
      <c r="G377" s="17">
        <v>7.6</v>
      </c>
      <c r="H377" s="17" t="str">
        <f>INDEX(Employees!$B$2:$B$17,MATCH(B377,Employees!$A$2:$A$17,0))</f>
        <v>Peyton</v>
      </c>
      <c r="I377" s="17" t="str">
        <f>INDEX(Employees!$C$2:$C$17,MATCH(B377,Employees!$A$2:$A$17,0))</f>
        <v>Cycle Counter</v>
      </c>
      <c r="J377" s="25">
        <f t="shared" si="10"/>
        <v>24.210526315789476</v>
      </c>
      <c r="K377" s="19">
        <f>IF(J377=0,0,J377/INDEX('Labor Dashboard'!$C$36:$C$39,MATCH(E377,'Labor Dashboard'!$B$36:$B$39,0)))</f>
        <v>0.96842105263157907</v>
      </c>
      <c r="L377" s="18">
        <f t="shared" si="11"/>
        <v>5</v>
      </c>
      <c r="M377" s="20">
        <f>G377*INDEX(Employees!$E$2:$E$17,MATCH(B377,Employees!$A$2:$A$17,0))</f>
        <v>136.79999999999998</v>
      </c>
    </row>
    <row r="378" spans="1:13" ht="18" x14ac:dyDescent="0.2">
      <c r="A378" s="17">
        <v>1264</v>
      </c>
      <c r="B378" s="17">
        <v>29</v>
      </c>
      <c r="C378" s="17" t="s">
        <v>352</v>
      </c>
      <c r="D378" s="17" t="s">
        <v>793</v>
      </c>
      <c r="E378" s="17" t="s">
        <v>796</v>
      </c>
      <c r="F378" s="17">
        <v>202</v>
      </c>
      <c r="G378" s="17">
        <v>7.6</v>
      </c>
      <c r="H378" s="17" t="str">
        <f>INDEX(Employees!$B$2:$B$17,MATCH(B378,Employees!$A$2:$A$17,0))</f>
        <v>Rowan</v>
      </c>
      <c r="I378" s="17" t="str">
        <f>INDEX(Employees!$C$2:$C$17,MATCH(B378,Employees!$A$2:$A$17,0))</f>
        <v>Cycle Counter</v>
      </c>
      <c r="J378" s="25">
        <f t="shared" si="10"/>
        <v>26.578947368421055</v>
      </c>
      <c r="K378" s="19">
        <f>IF(J378=0,0,J378/INDEX('Labor Dashboard'!$C$36:$C$39,MATCH(E378,'Labor Dashboard'!$B$36:$B$39,0)))</f>
        <v>1.0631578947368423</v>
      </c>
      <c r="L378" s="18">
        <f t="shared" si="11"/>
        <v>5</v>
      </c>
      <c r="M378" s="20">
        <f>G378*INDEX(Employees!$E$2:$E$17,MATCH(B378,Employees!$A$2:$A$17,0))</f>
        <v>136.79999999999998</v>
      </c>
    </row>
    <row r="379" spans="1:13" ht="18" x14ac:dyDescent="0.2">
      <c r="A379" s="17">
        <v>1265</v>
      </c>
      <c r="B379" s="17">
        <v>30</v>
      </c>
      <c r="C379" s="17" t="s">
        <v>352</v>
      </c>
      <c r="D379" s="17" t="s">
        <v>791</v>
      </c>
      <c r="E379" s="17" t="s">
        <v>795</v>
      </c>
      <c r="F379" s="17">
        <v>184</v>
      </c>
      <c r="G379" s="17">
        <v>7.7</v>
      </c>
      <c r="H379" s="17" t="str">
        <f>INDEX(Employees!$B$2:$B$17,MATCH(B379,Employees!$A$2:$A$17,0))</f>
        <v>Emerson</v>
      </c>
      <c r="I379" s="17" t="str">
        <f>INDEX(Employees!$C$2:$C$17,MATCH(B379,Employees!$A$2:$A$17,0))</f>
        <v>Shift Supervisor</v>
      </c>
      <c r="J379" s="25">
        <f t="shared" si="10"/>
        <v>23.896103896103895</v>
      </c>
      <c r="K379" s="19">
        <f>IF(J379=0,0,J379/INDEX('Labor Dashboard'!$C$36:$C$39,MATCH(E379,'Labor Dashboard'!$B$36:$B$39,0)))</f>
        <v>0.79653679653679654</v>
      </c>
      <c r="L379" s="18">
        <f t="shared" si="11"/>
        <v>5</v>
      </c>
      <c r="M379" s="20">
        <f>G379*INDEX(Employees!$E$2:$E$17,MATCH(B379,Employees!$A$2:$A$17,0))</f>
        <v>184.8</v>
      </c>
    </row>
    <row r="380" spans="1:13" ht="18" x14ac:dyDescent="0.2">
      <c r="A380" s="17">
        <v>1266</v>
      </c>
      <c r="B380" s="17">
        <v>31</v>
      </c>
      <c r="C380" s="17" t="s">
        <v>352</v>
      </c>
      <c r="D380" s="17" t="s">
        <v>793</v>
      </c>
      <c r="E380" s="17" t="s">
        <v>792</v>
      </c>
      <c r="F380" s="17">
        <v>473</v>
      </c>
      <c r="G380" s="17">
        <v>8.1999999999999993</v>
      </c>
      <c r="H380" s="17" t="str">
        <f>INDEX(Employees!$B$2:$B$17,MATCH(B380,Employees!$A$2:$A$17,0))</f>
        <v>Finley</v>
      </c>
      <c r="I380" s="17" t="str">
        <f>INDEX(Employees!$C$2:$C$17,MATCH(B380,Employees!$A$2:$A$17,0))</f>
        <v>Shift Supervisor</v>
      </c>
      <c r="J380" s="25">
        <f t="shared" si="10"/>
        <v>57.682926829268297</v>
      </c>
      <c r="K380" s="19">
        <f>IF(J380=0,0,J380/INDEX('Labor Dashboard'!$C$36:$C$39,MATCH(E380,'Labor Dashboard'!$B$36:$B$39,0)))</f>
        <v>1.0487804878048781</v>
      </c>
      <c r="L380" s="18">
        <f t="shared" si="11"/>
        <v>5</v>
      </c>
      <c r="M380" s="20">
        <f>G380*INDEX(Employees!$E$2:$E$17,MATCH(B380,Employees!$A$2:$A$17,0))</f>
        <v>196.79999999999998</v>
      </c>
    </row>
    <row r="381" spans="1:13" ht="18" x14ac:dyDescent="0.2">
      <c r="A381" s="17">
        <v>1267</v>
      </c>
      <c r="B381" s="17">
        <v>32</v>
      </c>
      <c r="C381" s="17" t="s">
        <v>352</v>
      </c>
      <c r="D381" s="17" t="s">
        <v>791</v>
      </c>
      <c r="E381" s="17" t="s">
        <v>795</v>
      </c>
      <c r="F381" s="17">
        <v>217</v>
      </c>
      <c r="G381" s="17">
        <v>8</v>
      </c>
      <c r="H381" s="17" t="str">
        <f>INDEX(Employees!$B$2:$B$17,MATCH(B381,Employees!$A$2:$A$17,0))</f>
        <v>Sawyer</v>
      </c>
      <c r="I381" s="17" t="str">
        <f>INDEX(Employees!$C$2:$C$17,MATCH(B381,Employees!$A$2:$A$17,0))</f>
        <v>Shift Supervisor</v>
      </c>
      <c r="J381" s="25">
        <f t="shared" si="10"/>
        <v>27.125</v>
      </c>
      <c r="K381" s="19">
        <f>IF(J381=0,0,J381/INDEX('Labor Dashboard'!$C$36:$C$39,MATCH(E381,'Labor Dashboard'!$B$36:$B$39,0)))</f>
        <v>0.90416666666666667</v>
      </c>
      <c r="L381" s="18">
        <f t="shared" si="11"/>
        <v>5</v>
      </c>
      <c r="M381" s="20">
        <f>G381*INDEX(Employees!$E$2:$E$17,MATCH(B381,Employees!$A$2:$A$17,0))</f>
        <v>192</v>
      </c>
    </row>
    <row r="382" spans="1:13" ht="18" x14ac:dyDescent="0.2">
      <c r="A382" s="17">
        <v>1268</v>
      </c>
      <c r="B382" s="17">
        <v>17</v>
      </c>
      <c r="C382" s="17" t="s">
        <v>379</v>
      </c>
      <c r="D382" s="17" t="s">
        <v>793</v>
      </c>
      <c r="E382" s="17" t="s">
        <v>792</v>
      </c>
      <c r="F382" s="17">
        <v>348</v>
      </c>
      <c r="G382" s="17">
        <v>7.4</v>
      </c>
      <c r="H382" s="17" t="str">
        <f>INDEX(Employees!$B$2:$B$17,MATCH(B382,Employees!$A$2:$A$17,0))</f>
        <v>Jordan</v>
      </c>
      <c r="I382" s="17" t="str">
        <f>INDEX(Employees!$C$2:$C$17,MATCH(B382,Employees!$A$2:$A$17,0))</f>
        <v>Picker</v>
      </c>
      <c r="J382" s="25">
        <f t="shared" si="10"/>
        <v>47.027027027027025</v>
      </c>
      <c r="K382" s="19">
        <f>IF(J382=0,0,J382/INDEX('Labor Dashboard'!$C$36:$C$39,MATCH(E382,'Labor Dashboard'!$B$36:$B$39,0)))</f>
        <v>0.855036855036855</v>
      </c>
      <c r="L382" s="18">
        <f t="shared" si="11"/>
        <v>5</v>
      </c>
      <c r="M382" s="20">
        <f>G382*INDEX(Employees!$E$2:$E$17,MATCH(B382,Employees!$A$2:$A$17,0))</f>
        <v>125.80000000000001</v>
      </c>
    </row>
    <row r="383" spans="1:13" ht="18" x14ac:dyDescent="0.2">
      <c r="A383" s="17">
        <v>1269</v>
      </c>
      <c r="B383" s="17">
        <v>18</v>
      </c>
      <c r="C383" s="17" t="s">
        <v>379</v>
      </c>
      <c r="D383" s="17" t="s">
        <v>793</v>
      </c>
      <c r="E383" s="17" t="s">
        <v>792</v>
      </c>
      <c r="F383" s="17">
        <v>511</v>
      </c>
      <c r="G383" s="17">
        <v>8.1</v>
      </c>
      <c r="H383" s="17" t="str">
        <f>INDEX(Employees!$B$2:$B$17,MATCH(B383,Employees!$A$2:$A$17,0))</f>
        <v>Casey</v>
      </c>
      <c r="I383" s="17" t="str">
        <f>INDEX(Employees!$C$2:$C$17,MATCH(B383,Employees!$A$2:$A$17,0))</f>
        <v>Picker</v>
      </c>
      <c r="J383" s="25">
        <f t="shared" si="10"/>
        <v>63.086419753086425</v>
      </c>
      <c r="K383" s="19">
        <f>IF(J383=0,0,J383/INDEX('Labor Dashboard'!$C$36:$C$39,MATCH(E383,'Labor Dashboard'!$B$36:$B$39,0)))</f>
        <v>1.1470258136924805</v>
      </c>
      <c r="L383" s="18">
        <f t="shared" si="11"/>
        <v>5</v>
      </c>
      <c r="M383" s="20">
        <f>G383*INDEX(Employees!$E$2:$E$17,MATCH(B383,Employees!$A$2:$A$17,0))</f>
        <v>137.69999999999999</v>
      </c>
    </row>
    <row r="384" spans="1:13" ht="18" x14ac:dyDescent="0.2">
      <c r="A384" s="17">
        <v>1270</v>
      </c>
      <c r="B384" s="17">
        <v>19</v>
      </c>
      <c r="C384" s="17" t="s">
        <v>379</v>
      </c>
      <c r="D384" s="17" t="s">
        <v>793</v>
      </c>
      <c r="E384" s="17" t="s">
        <v>792</v>
      </c>
      <c r="F384" s="17">
        <v>387</v>
      </c>
      <c r="G384" s="17">
        <v>7</v>
      </c>
      <c r="H384" s="17" t="str">
        <f>INDEX(Employees!$B$2:$B$17,MATCH(B384,Employees!$A$2:$A$17,0))</f>
        <v>Morgan</v>
      </c>
      <c r="I384" s="17" t="str">
        <f>INDEX(Employees!$C$2:$C$17,MATCH(B384,Employees!$A$2:$A$17,0))</f>
        <v>Picker</v>
      </c>
      <c r="J384" s="25">
        <f t="shared" si="10"/>
        <v>55.285714285714285</v>
      </c>
      <c r="K384" s="19">
        <f>IF(J384=0,0,J384/INDEX('Labor Dashboard'!$C$36:$C$39,MATCH(E384,'Labor Dashboard'!$B$36:$B$39,0)))</f>
        <v>1.0051948051948052</v>
      </c>
      <c r="L384" s="18">
        <f t="shared" si="11"/>
        <v>5</v>
      </c>
      <c r="M384" s="20">
        <f>G384*INDEX(Employees!$E$2:$E$17,MATCH(B384,Employees!$A$2:$A$17,0))</f>
        <v>119</v>
      </c>
    </row>
    <row r="385" spans="1:13" ht="18" x14ac:dyDescent="0.2">
      <c r="A385" s="17">
        <v>1271</v>
      </c>
      <c r="B385" s="17">
        <v>20</v>
      </c>
      <c r="C385" s="17" t="s">
        <v>379</v>
      </c>
      <c r="D385" s="17" t="s">
        <v>793</v>
      </c>
      <c r="E385" s="17" t="s">
        <v>792</v>
      </c>
      <c r="F385" s="17">
        <v>427</v>
      </c>
      <c r="G385" s="17">
        <v>7.4</v>
      </c>
      <c r="H385" s="17" t="str">
        <f>INDEX(Employees!$B$2:$B$17,MATCH(B385,Employees!$A$2:$A$17,0))</f>
        <v>Taylor</v>
      </c>
      <c r="I385" s="17" t="str">
        <f>INDEX(Employees!$C$2:$C$17,MATCH(B385,Employees!$A$2:$A$17,0))</f>
        <v>Picker</v>
      </c>
      <c r="J385" s="25">
        <f t="shared" si="10"/>
        <v>57.702702702702702</v>
      </c>
      <c r="K385" s="19">
        <f>IF(J385=0,0,J385/INDEX('Labor Dashboard'!$C$36:$C$39,MATCH(E385,'Labor Dashboard'!$B$36:$B$39,0)))</f>
        <v>1.0491400491400491</v>
      </c>
      <c r="L385" s="18">
        <f t="shared" si="11"/>
        <v>5</v>
      </c>
      <c r="M385" s="20">
        <f>G385*INDEX(Employees!$E$2:$E$17,MATCH(B385,Employees!$A$2:$A$17,0))</f>
        <v>125.80000000000001</v>
      </c>
    </row>
    <row r="386" spans="1:13" ht="18" x14ac:dyDescent="0.2">
      <c r="A386" s="17">
        <v>1272</v>
      </c>
      <c r="B386" s="17">
        <v>21</v>
      </c>
      <c r="C386" s="17" t="s">
        <v>379</v>
      </c>
      <c r="D386" s="17" t="s">
        <v>793</v>
      </c>
      <c r="E386" s="17" t="s">
        <v>794</v>
      </c>
      <c r="F386" s="17">
        <v>328</v>
      </c>
      <c r="G386" s="17">
        <v>8.3000000000000007</v>
      </c>
      <c r="H386" s="17" t="str">
        <f>INDEX(Employees!$B$2:$B$17,MATCH(B386,Employees!$A$2:$A$17,0))</f>
        <v>Riley</v>
      </c>
      <c r="I386" s="17" t="str">
        <f>INDEX(Employees!$C$2:$C$17,MATCH(B386,Employees!$A$2:$A$17,0))</f>
        <v>Packer</v>
      </c>
      <c r="J386" s="25">
        <f t="shared" ref="J386:J449" si="12">IF(G386=0,0,F386/G386)</f>
        <v>39.518072289156621</v>
      </c>
      <c r="K386" s="19">
        <f>IF(J386=0,0,J386/INDEX('Labor Dashboard'!$C$36:$C$39,MATCH(E386,'Labor Dashboard'!$B$36:$B$39,0)))</f>
        <v>0.87817938420348041</v>
      </c>
      <c r="L386" s="18">
        <f t="shared" ref="L386:L449" si="13">INT((DATEVALUE(C386)-DATE(2026,4,6))/7)</f>
        <v>5</v>
      </c>
      <c r="M386" s="20">
        <f>G386*INDEX(Employees!$E$2:$E$17,MATCH(B386,Employees!$A$2:$A$17,0))</f>
        <v>141.10000000000002</v>
      </c>
    </row>
    <row r="387" spans="1:13" ht="18" x14ac:dyDescent="0.2">
      <c r="A387" s="17">
        <v>1273</v>
      </c>
      <c r="B387" s="17">
        <v>23</v>
      </c>
      <c r="C387" s="17" t="s">
        <v>379</v>
      </c>
      <c r="D387" s="17" t="s">
        <v>791</v>
      </c>
      <c r="E387" s="17" t="s">
        <v>794</v>
      </c>
      <c r="F387" s="17">
        <v>432</v>
      </c>
      <c r="G387" s="17">
        <v>8.1999999999999993</v>
      </c>
      <c r="H387" s="17" t="str">
        <f>INDEX(Employees!$B$2:$B$17,MATCH(B387,Employees!$A$2:$A$17,0))</f>
        <v>Cameron</v>
      </c>
      <c r="I387" s="17" t="str">
        <f>INDEX(Employees!$C$2:$C$17,MATCH(B387,Employees!$A$2:$A$17,0))</f>
        <v>Packer</v>
      </c>
      <c r="J387" s="25">
        <f t="shared" si="12"/>
        <v>52.682926829268297</v>
      </c>
      <c r="K387" s="19">
        <f>IF(J387=0,0,J387/INDEX('Labor Dashboard'!$C$36:$C$39,MATCH(E387,'Labor Dashboard'!$B$36:$B$39,0)))</f>
        <v>1.1707317073170733</v>
      </c>
      <c r="L387" s="18">
        <f t="shared" si="13"/>
        <v>5</v>
      </c>
      <c r="M387" s="20">
        <f>G387*INDEX(Employees!$E$2:$E$17,MATCH(B387,Employees!$A$2:$A$17,0))</f>
        <v>139.39999999999998</v>
      </c>
    </row>
    <row r="388" spans="1:13" ht="18" x14ac:dyDescent="0.2">
      <c r="A388" s="17">
        <v>1274</v>
      </c>
      <c r="B388" s="17">
        <v>24</v>
      </c>
      <c r="C388" s="17" t="s">
        <v>379</v>
      </c>
      <c r="D388" s="17" t="s">
        <v>793</v>
      </c>
      <c r="E388" s="17" t="s">
        <v>795</v>
      </c>
      <c r="F388" s="17">
        <v>234</v>
      </c>
      <c r="G388" s="17">
        <v>8.3000000000000007</v>
      </c>
      <c r="H388" s="17" t="str">
        <f>INDEX(Employees!$B$2:$B$17,MATCH(B388,Employees!$A$2:$A$17,0))</f>
        <v>Dakota</v>
      </c>
      <c r="I388" s="17" t="str">
        <f>INDEX(Employees!$C$2:$C$17,MATCH(B388,Employees!$A$2:$A$17,0))</f>
        <v>Forklift Operator</v>
      </c>
      <c r="J388" s="25">
        <f t="shared" si="12"/>
        <v>28.192771084337348</v>
      </c>
      <c r="K388" s="19">
        <f>IF(J388=0,0,J388/INDEX('Labor Dashboard'!$C$36:$C$39,MATCH(E388,'Labor Dashboard'!$B$36:$B$39,0)))</f>
        <v>0.93975903614457823</v>
      </c>
      <c r="L388" s="18">
        <f t="shared" si="13"/>
        <v>5</v>
      </c>
      <c r="M388" s="20">
        <f>G388*INDEX(Employees!$E$2:$E$17,MATCH(B388,Employees!$A$2:$A$17,0))</f>
        <v>161.85000000000002</v>
      </c>
    </row>
    <row r="389" spans="1:13" ht="18" x14ac:dyDescent="0.2">
      <c r="A389" s="17">
        <v>1275</v>
      </c>
      <c r="B389" s="17">
        <v>25</v>
      </c>
      <c r="C389" s="17" t="s">
        <v>379</v>
      </c>
      <c r="D389" s="17" t="s">
        <v>791</v>
      </c>
      <c r="E389" s="17" t="s">
        <v>795</v>
      </c>
      <c r="F389" s="17">
        <v>214</v>
      </c>
      <c r="G389" s="17">
        <v>6.7</v>
      </c>
      <c r="H389" s="17" t="str">
        <f>INDEX(Employees!$B$2:$B$17,MATCH(B389,Employees!$A$2:$A$17,0))</f>
        <v>Hayden</v>
      </c>
      <c r="I389" s="17" t="str">
        <f>INDEX(Employees!$C$2:$C$17,MATCH(B389,Employees!$A$2:$A$17,0))</f>
        <v>Forklift Operator</v>
      </c>
      <c r="J389" s="25">
        <f t="shared" si="12"/>
        <v>31.940298507462686</v>
      </c>
      <c r="K389" s="19">
        <f>IF(J389=0,0,J389/INDEX('Labor Dashboard'!$C$36:$C$39,MATCH(E389,'Labor Dashboard'!$B$36:$B$39,0)))</f>
        <v>1.0646766169154229</v>
      </c>
      <c r="L389" s="18">
        <f t="shared" si="13"/>
        <v>5</v>
      </c>
      <c r="M389" s="20">
        <f>G389*INDEX(Employees!$E$2:$E$17,MATCH(B389,Employees!$A$2:$A$17,0))</f>
        <v>130.65</v>
      </c>
    </row>
    <row r="390" spans="1:13" ht="18" x14ac:dyDescent="0.2">
      <c r="A390" s="17">
        <v>1276</v>
      </c>
      <c r="B390" s="17">
        <v>26</v>
      </c>
      <c r="C390" s="17" t="s">
        <v>379</v>
      </c>
      <c r="D390" s="17" t="s">
        <v>793</v>
      </c>
      <c r="E390" s="17" t="s">
        <v>795</v>
      </c>
      <c r="F390" s="17">
        <v>194</v>
      </c>
      <c r="G390" s="17">
        <v>7.9</v>
      </c>
      <c r="H390" s="17" t="str">
        <f>INDEX(Employees!$B$2:$B$17,MATCH(B390,Employees!$A$2:$A$17,0))</f>
        <v>Reese</v>
      </c>
      <c r="I390" s="17" t="str">
        <f>INDEX(Employees!$C$2:$C$17,MATCH(B390,Employees!$A$2:$A$17,0))</f>
        <v>Receiving Clerk</v>
      </c>
      <c r="J390" s="25">
        <f t="shared" si="12"/>
        <v>24.556962025316455</v>
      </c>
      <c r="K390" s="19">
        <f>IF(J390=0,0,J390/INDEX('Labor Dashboard'!$C$36:$C$39,MATCH(E390,'Labor Dashboard'!$B$36:$B$39,0)))</f>
        <v>0.81856540084388185</v>
      </c>
      <c r="L390" s="18">
        <f t="shared" si="13"/>
        <v>5</v>
      </c>
      <c r="M390" s="20">
        <f>G390*INDEX(Employees!$E$2:$E$17,MATCH(B390,Employees!$A$2:$A$17,0))</f>
        <v>142.20000000000002</v>
      </c>
    </row>
    <row r="391" spans="1:13" ht="18" x14ac:dyDescent="0.2">
      <c r="A391" s="17">
        <v>1277</v>
      </c>
      <c r="B391" s="17">
        <v>27</v>
      </c>
      <c r="C391" s="17" t="s">
        <v>379</v>
      </c>
      <c r="D391" s="17" t="s">
        <v>793</v>
      </c>
      <c r="E391" s="17" t="s">
        <v>795</v>
      </c>
      <c r="F391" s="17">
        <v>212</v>
      </c>
      <c r="G391" s="17">
        <v>7.9</v>
      </c>
      <c r="H391" s="17" t="str">
        <f>INDEX(Employees!$B$2:$B$17,MATCH(B391,Employees!$A$2:$A$17,0))</f>
        <v>Skyler</v>
      </c>
      <c r="I391" s="17" t="str">
        <f>INDEX(Employees!$C$2:$C$17,MATCH(B391,Employees!$A$2:$A$17,0))</f>
        <v>Receiving Clerk</v>
      </c>
      <c r="J391" s="25">
        <f t="shared" si="12"/>
        <v>26.835443037974681</v>
      </c>
      <c r="K391" s="19">
        <f>IF(J391=0,0,J391/INDEX('Labor Dashboard'!$C$36:$C$39,MATCH(E391,'Labor Dashboard'!$B$36:$B$39,0)))</f>
        <v>0.89451476793248941</v>
      </c>
      <c r="L391" s="18">
        <f t="shared" si="13"/>
        <v>5</v>
      </c>
      <c r="M391" s="20">
        <f>G391*INDEX(Employees!$E$2:$E$17,MATCH(B391,Employees!$A$2:$A$17,0))</f>
        <v>142.20000000000002</v>
      </c>
    </row>
    <row r="392" spans="1:13" ht="18" x14ac:dyDescent="0.2">
      <c r="A392" s="17">
        <v>1278</v>
      </c>
      <c r="B392" s="17">
        <v>28</v>
      </c>
      <c r="C392" s="17" t="s">
        <v>379</v>
      </c>
      <c r="D392" s="17" t="s">
        <v>791</v>
      </c>
      <c r="E392" s="17" t="s">
        <v>796</v>
      </c>
      <c r="F392" s="17">
        <v>159</v>
      </c>
      <c r="G392" s="17">
        <v>7.2</v>
      </c>
      <c r="H392" s="17" t="str">
        <f>INDEX(Employees!$B$2:$B$17,MATCH(B392,Employees!$A$2:$A$17,0))</f>
        <v>Peyton</v>
      </c>
      <c r="I392" s="17" t="str">
        <f>INDEX(Employees!$C$2:$C$17,MATCH(B392,Employees!$A$2:$A$17,0))</f>
        <v>Cycle Counter</v>
      </c>
      <c r="J392" s="25">
        <f t="shared" si="12"/>
        <v>22.083333333333332</v>
      </c>
      <c r="K392" s="19">
        <f>IF(J392=0,0,J392/INDEX('Labor Dashboard'!$C$36:$C$39,MATCH(E392,'Labor Dashboard'!$B$36:$B$39,0)))</f>
        <v>0.8833333333333333</v>
      </c>
      <c r="L392" s="18">
        <f t="shared" si="13"/>
        <v>5</v>
      </c>
      <c r="M392" s="20">
        <f>G392*INDEX(Employees!$E$2:$E$17,MATCH(B392,Employees!$A$2:$A$17,0))</f>
        <v>129.6</v>
      </c>
    </row>
    <row r="393" spans="1:13" ht="18" x14ac:dyDescent="0.2">
      <c r="A393" s="17">
        <v>1279</v>
      </c>
      <c r="B393" s="17">
        <v>29</v>
      </c>
      <c r="C393" s="17" t="s">
        <v>379</v>
      </c>
      <c r="D393" s="17" t="s">
        <v>793</v>
      </c>
      <c r="E393" s="17" t="s">
        <v>796</v>
      </c>
      <c r="F393" s="17">
        <v>227</v>
      </c>
      <c r="G393" s="17">
        <v>8.1</v>
      </c>
      <c r="H393" s="17" t="str">
        <f>INDEX(Employees!$B$2:$B$17,MATCH(B393,Employees!$A$2:$A$17,0))</f>
        <v>Rowan</v>
      </c>
      <c r="I393" s="17" t="str">
        <f>INDEX(Employees!$C$2:$C$17,MATCH(B393,Employees!$A$2:$A$17,0))</f>
        <v>Cycle Counter</v>
      </c>
      <c r="J393" s="25">
        <f t="shared" si="12"/>
        <v>28.024691358024693</v>
      </c>
      <c r="K393" s="19">
        <f>IF(J393=0,0,J393/INDEX('Labor Dashboard'!$C$36:$C$39,MATCH(E393,'Labor Dashboard'!$B$36:$B$39,0)))</f>
        <v>1.1209876543209878</v>
      </c>
      <c r="L393" s="18">
        <f t="shared" si="13"/>
        <v>5</v>
      </c>
      <c r="M393" s="20">
        <f>G393*INDEX(Employees!$E$2:$E$17,MATCH(B393,Employees!$A$2:$A$17,0))</f>
        <v>145.79999999999998</v>
      </c>
    </row>
    <row r="394" spans="1:13" ht="18" x14ac:dyDescent="0.2">
      <c r="A394" s="17">
        <v>1280</v>
      </c>
      <c r="B394" s="17">
        <v>30</v>
      </c>
      <c r="C394" s="17" t="s">
        <v>379</v>
      </c>
      <c r="D394" s="17" t="s">
        <v>793</v>
      </c>
      <c r="E394" s="17" t="s">
        <v>792</v>
      </c>
      <c r="F394" s="17">
        <v>382</v>
      </c>
      <c r="G394" s="17">
        <v>8.5</v>
      </c>
      <c r="H394" s="17" t="str">
        <f>INDEX(Employees!$B$2:$B$17,MATCH(B394,Employees!$A$2:$A$17,0))</f>
        <v>Emerson</v>
      </c>
      <c r="I394" s="17" t="str">
        <f>INDEX(Employees!$C$2:$C$17,MATCH(B394,Employees!$A$2:$A$17,0))</f>
        <v>Shift Supervisor</v>
      </c>
      <c r="J394" s="25">
        <f t="shared" si="12"/>
        <v>44.941176470588232</v>
      </c>
      <c r="K394" s="19">
        <f>IF(J394=0,0,J394/INDEX('Labor Dashboard'!$C$36:$C$39,MATCH(E394,'Labor Dashboard'!$B$36:$B$39,0)))</f>
        <v>0.81711229946524055</v>
      </c>
      <c r="L394" s="18">
        <f t="shared" si="13"/>
        <v>5</v>
      </c>
      <c r="M394" s="20">
        <f>G394*INDEX(Employees!$E$2:$E$17,MATCH(B394,Employees!$A$2:$A$17,0))</f>
        <v>204</v>
      </c>
    </row>
    <row r="395" spans="1:13" ht="18" x14ac:dyDescent="0.2">
      <c r="A395" s="17">
        <v>1281</v>
      </c>
      <c r="B395" s="17">
        <v>31</v>
      </c>
      <c r="C395" s="17" t="s">
        <v>379</v>
      </c>
      <c r="D395" s="17" t="s">
        <v>793</v>
      </c>
      <c r="E395" s="17" t="s">
        <v>794</v>
      </c>
      <c r="F395" s="17">
        <v>352</v>
      </c>
      <c r="G395" s="17">
        <v>7.4</v>
      </c>
      <c r="H395" s="17" t="str">
        <f>INDEX(Employees!$B$2:$B$17,MATCH(B395,Employees!$A$2:$A$17,0))</f>
        <v>Finley</v>
      </c>
      <c r="I395" s="17" t="str">
        <f>INDEX(Employees!$C$2:$C$17,MATCH(B395,Employees!$A$2:$A$17,0))</f>
        <v>Shift Supervisor</v>
      </c>
      <c r="J395" s="25">
        <f t="shared" si="12"/>
        <v>47.567567567567565</v>
      </c>
      <c r="K395" s="19">
        <f>IF(J395=0,0,J395/INDEX('Labor Dashboard'!$C$36:$C$39,MATCH(E395,'Labor Dashboard'!$B$36:$B$39,0)))</f>
        <v>1.057057057057057</v>
      </c>
      <c r="L395" s="18">
        <f t="shared" si="13"/>
        <v>5</v>
      </c>
      <c r="M395" s="20">
        <f>G395*INDEX(Employees!$E$2:$E$17,MATCH(B395,Employees!$A$2:$A$17,0))</f>
        <v>177.60000000000002</v>
      </c>
    </row>
    <row r="396" spans="1:13" ht="18" x14ac:dyDescent="0.2">
      <c r="A396" s="17">
        <v>1282</v>
      </c>
      <c r="B396" s="17">
        <v>32</v>
      </c>
      <c r="C396" s="17" t="s">
        <v>379</v>
      </c>
      <c r="D396" s="17" t="s">
        <v>791</v>
      </c>
      <c r="E396" s="17" t="s">
        <v>792</v>
      </c>
      <c r="F396" s="17">
        <v>367</v>
      </c>
      <c r="G396" s="17">
        <v>7</v>
      </c>
      <c r="H396" s="17" t="str">
        <f>INDEX(Employees!$B$2:$B$17,MATCH(B396,Employees!$A$2:$A$17,0))</f>
        <v>Sawyer</v>
      </c>
      <c r="I396" s="17" t="str">
        <f>INDEX(Employees!$C$2:$C$17,MATCH(B396,Employees!$A$2:$A$17,0))</f>
        <v>Shift Supervisor</v>
      </c>
      <c r="J396" s="25">
        <f t="shared" si="12"/>
        <v>52.428571428571431</v>
      </c>
      <c r="K396" s="19">
        <f>IF(J396=0,0,J396/INDEX('Labor Dashboard'!$C$36:$C$39,MATCH(E396,'Labor Dashboard'!$B$36:$B$39,0)))</f>
        <v>0.95324675324675323</v>
      </c>
      <c r="L396" s="18">
        <f t="shared" si="13"/>
        <v>5</v>
      </c>
      <c r="M396" s="20">
        <f>G396*INDEX(Employees!$E$2:$E$17,MATCH(B396,Employees!$A$2:$A$17,0))</f>
        <v>168</v>
      </c>
    </row>
    <row r="397" spans="1:13" ht="18" x14ac:dyDescent="0.2">
      <c r="A397" s="17">
        <v>1283</v>
      </c>
      <c r="B397" s="17">
        <v>17</v>
      </c>
      <c r="C397" s="17" t="s">
        <v>376</v>
      </c>
      <c r="D397" s="17" t="s">
        <v>793</v>
      </c>
      <c r="E397" s="17" t="s">
        <v>792</v>
      </c>
      <c r="F397" s="17">
        <v>400</v>
      </c>
      <c r="G397" s="17">
        <v>7.6</v>
      </c>
      <c r="H397" s="17" t="str">
        <f>INDEX(Employees!$B$2:$B$17,MATCH(B397,Employees!$A$2:$A$17,0))</f>
        <v>Jordan</v>
      </c>
      <c r="I397" s="17" t="str">
        <f>INDEX(Employees!$C$2:$C$17,MATCH(B397,Employees!$A$2:$A$17,0))</f>
        <v>Picker</v>
      </c>
      <c r="J397" s="25">
        <f t="shared" si="12"/>
        <v>52.631578947368425</v>
      </c>
      <c r="K397" s="19">
        <f>IF(J397=0,0,J397/INDEX('Labor Dashboard'!$C$36:$C$39,MATCH(E397,'Labor Dashboard'!$B$36:$B$39,0)))</f>
        <v>0.95693779904306231</v>
      </c>
      <c r="L397" s="18">
        <f t="shared" si="13"/>
        <v>5</v>
      </c>
      <c r="M397" s="20">
        <f>G397*INDEX(Employees!$E$2:$E$17,MATCH(B397,Employees!$A$2:$A$17,0))</f>
        <v>129.19999999999999</v>
      </c>
    </row>
    <row r="398" spans="1:13" ht="18" x14ac:dyDescent="0.2">
      <c r="A398" s="17">
        <v>1284</v>
      </c>
      <c r="B398" s="17">
        <v>18</v>
      </c>
      <c r="C398" s="17" t="s">
        <v>376</v>
      </c>
      <c r="D398" s="17" t="s">
        <v>793</v>
      </c>
      <c r="E398" s="17" t="s">
        <v>792</v>
      </c>
      <c r="F398" s="17">
        <v>417</v>
      </c>
      <c r="G398" s="17">
        <v>6.8</v>
      </c>
      <c r="H398" s="17" t="str">
        <f>INDEX(Employees!$B$2:$B$17,MATCH(B398,Employees!$A$2:$A$17,0))</f>
        <v>Casey</v>
      </c>
      <c r="I398" s="17" t="str">
        <f>INDEX(Employees!$C$2:$C$17,MATCH(B398,Employees!$A$2:$A$17,0))</f>
        <v>Picker</v>
      </c>
      <c r="J398" s="25">
        <f t="shared" si="12"/>
        <v>61.32352941176471</v>
      </c>
      <c r="K398" s="19">
        <f>IF(J398=0,0,J398/INDEX('Labor Dashboard'!$C$36:$C$39,MATCH(E398,'Labor Dashboard'!$B$36:$B$39,0)))</f>
        <v>1.1149732620320856</v>
      </c>
      <c r="L398" s="18">
        <f t="shared" si="13"/>
        <v>5</v>
      </c>
      <c r="M398" s="20">
        <f>G398*INDEX(Employees!$E$2:$E$17,MATCH(B398,Employees!$A$2:$A$17,0))</f>
        <v>115.6</v>
      </c>
    </row>
    <row r="399" spans="1:13" ht="18" x14ac:dyDescent="0.2">
      <c r="A399" s="17">
        <v>1285</v>
      </c>
      <c r="B399" s="17">
        <v>19</v>
      </c>
      <c r="C399" s="17" t="s">
        <v>376</v>
      </c>
      <c r="D399" s="17" t="s">
        <v>793</v>
      </c>
      <c r="E399" s="17" t="s">
        <v>792</v>
      </c>
      <c r="F399" s="17">
        <v>512</v>
      </c>
      <c r="G399" s="17">
        <v>8.1999999999999993</v>
      </c>
      <c r="H399" s="17" t="str">
        <f>INDEX(Employees!$B$2:$B$17,MATCH(B399,Employees!$A$2:$A$17,0))</f>
        <v>Morgan</v>
      </c>
      <c r="I399" s="17" t="str">
        <f>INDEX(Employees!$C$2:$C$17,MATCH(B399,Employees!$A$2:$A$17,0))</f>
        <v>Picker</v>
      </c>
      <c r="J399" s="25">
        <f t="shared" si="12"/>
        <v>62.439024390243908</v>
      </c>
      <c r="K399" s="19">
        <f>IF(J399=0,0,J399/INDEX('Labor Dashboard'!$C$36:$C$39,MATCH(E399,'Labor Dashboard'!$B$36:$B$39,0)))</f>
        <v>1.1352549889135255</v>
      </c>
      <c r="L399" s="18">
        <f t="shared" si="13"/>
        <v>5</v>
      </c>
      <c r="M399" s="20">
        <f>G399*INDEX(Employees!$E$2:$E$17,MATCH(B399,Employees!$A$2:$A$17,0))</f>
        <v>139.39999999999998</v>
      </c>
    </row>
    <row r="400" spans="1:13" ht="18" x14ac:dyDescent="0.2">
      <c r="A400" s="17">
        <v>1286</v>
      </c>
      <c r="B400" s="17">
        <v>21</v>
      </c>
      <c r="C400" s="17" t="s">
        <v>376</v>
      </c>
      <c r="D400" s="17" t="s">
        <v>793</v>
      </c>
      <c r="E400" s="17" t="s">
        <v>794</v>
      </c>
      <c r="F400" s="17">
        <v>284</v>
      </c>
      <c r="G400" s="17">
        <v>6.8</v>
      </c>
      <c r="H400" s="17" t="str">
        <f>INDEX(Employees!$B$2:$B$17,MATCH(B400,Employees!$A$2:$A$17,0))</f>
        <v>Riley</v>
      </c>
      <c r="I400" s="17" t="str">
        <f>INDEX(Employees!$C$2:$C$17,MATCH(B400,Employees!$A$2:$A$17,0))</f>
        <v>Packer</v>
      </c>
      <c r="J400" s="25">
        <f t="shared" si="12"/>
        <v>41.764705882352942</v>
      </c>
      <c r="K400" s="19">
        <f>IF(J400=0,0,J400/INDEX('Labor Dashboard'!$C$36:$C$39,MATCH(E400,'Labor Dashboard'!$B$36:$B$39,0)))</f>
        <v>0.92810457516339873</v>
      </c>
      <c r="L400" s="18">
        <f t="shared" si="13"/>
        <v>5</v>
      </c>
      <c r="M400" s="20">
        <f>G400*INDEX(Employees!$E$2:$E$17,MATCH(B400,Employees!$A$2:$A$17,0))</f>
        <v>115.6</v>
      </c>
    </row>
    <row r="401" spans="1:13" ht="18" x14ac:dyDescent="0.2">
      <c r="A401" s="17">
        <v>1287</v>
      </c>
      <c r="B401" s="17">
        <v>22</v>
      </c>
      <c r="C401" s="17" t="s">
        <v>376</v>
      </c>
      <c r="D401" s="17" t="s">
        <v>791</v>
      </c>
      <c r="E401" s="17" t="s">
        <v>794</v>
      </c>
      <c r="F401" s="17">
        <v>365</v>
      </c>
      <c r="G401" s="17">
        <v>7.2</v>
      </c>
      <c r="H401" s="17" t="str">
        <f>INDEX(Employees!$B$2:$B$17,MATCH(B401,Employees!$A$2:$A$17,0))</f>
        <v>Avery</v>
      </c>
      <c r="I401" s="17" t="str">
        <f>INDEX(Employees!$C$2:$C$17,MATCH(B401,Employees!$A$2:$A$17,0))</f>
        <v>Packer</v>
      </c>
      <c r="J401" s="25">
        <f t="shared" si="12"/>
        <v>50.694444444444443</v>
      </c>
      <c r="K401" s="19">
        <f>IF(J401=0,0,J401/INDEX('Labor Dashboard'!$C$36:$C$39,MATCH(E401,'Labor Dashboard'!$B$36:$B$39,0)))</f>
        <v>1.1265432098765431</v>
      </c>
      <c r="L401" s="18">
        <f t="shared" si="13"/>
        <v>5</v>
      </c>
      <c r="M401" s="20">
        <f>G401*INDEX(Employees!$E$2:$E$17,MATCH(B401,Employees!$A$2:$A$17,0))</f>
        <v>122.4</v>
      </c>
    </row>
    <row r="402" spans="1:13" ht="18" x14ac:dyDescent="0.2">
      <c r="A402" s="17">
        <v>1288</v>
      </c>
      <c r="B402" s="17">
        <v>24</v>
      </c>
      <c r="C402" s="17" t="s">
        <v>376</v>
      </c>
      <c r="D402" s="17" t="s">
        <v>793</v>
      </c>
      <c r="E402" s="17" t="s">
        <v>792</v>
      </c>
      <c r="F402" s="17">
        <v>401</v>
      </c>
      <c r="G402" s="17">
        <v>7.9</v>
      </c>
      <c r="H402" s="17" t="str">
        <f>INDEX(Employees!$B$2:$B$17,MATCH(B402,Employees!$A$2:$A$17,0))</f>
        <v>Dakota</v>
      </c>
      <c r="I402" s="17" t="str">
        <f>INDEX(Employees!$C$2:$C$17,MATCH(B402,Employees!$A$2:$A$17,0))</f>
        <v>Forklift Operator</v>
      </c>
      <c r="J402" s="25">
        <f t="shared" si="12"/>
        <v>50.759493670886073</v>
      </c>
      <c r="K402" s="19">
        <f>IF(J402=0,0,J402/INDEX('Labor Dashboard'!$C$36:$C$39,MATCH(E402,'Labor Dashboard'!$B$36:$B$39,0)))</f>
        <v>0.92289988492520136</v>
      </c>
      <c r="L402" s="18">
        <f t="shared" si="13"/>
        <v>5</v>
      </c>
      <c r="M402" s="20">
        <f>G402*INDEX(Employees!$E$2:$E$17,MATCH(B402,Employees!$A$2:$A$17,0))</f>
        <v>154.05000000000001</v>
      </c>
    </row>
    <row r="403" spans="1:13" ht="18" x14ac:dyDescent="0.2">
      <c r="A403" s="17">
        <v>1289</v>
      </c>
      <c r="B403" s="17">
        <v>25</v>
      </c>
      <c r="C403" s="17" t="s">
        <v>376</v>
      </c>
      <c r="D403" s="17" t="s">
        <v>791</v>
      </c>
      <c r="E403" s="17" t="s">
        <v>795</v>
      </c>
      <c r="F403" s="17">
        <v>231</v>
      </c>
      <c r="G403" s="17">
        <v>7.9</v>
      </c>
      <c r="H403" s="17" t="str">
        <f>INDEX(Employees!$B$2:$B$17,MATCH(B403,Employees!$A$2:$A$17,0))</f>
        <v>Hayden</v>
      </c>
      <c r="I403" s="17" t="str">
        <f>INDEX(Employees!$C$2:$C$17,MATCH(B403,Employees!$A$2:$A$17,0))</f>
        <v>Forklift Operator</v>
      </c>
      <c r="J403" s="25">
        <f t="shared" si="12"/>
        <v>29.240506329113924</v>
      </c>
      <c r="K403" s="19">
        <f>IF(J403=0,0,J403/INDEX('Labor Dashboard'!$C$36:$C$39,MATCH(E403,'Labor Dashboard'!$B$36:$B$39,0)))</f>
        <v>0.97468354430379744</v>
      </c>
      <c r="L403" s="18">
        <f t="shared" si="13"/>
        <v>5</v>
      </c>
      <c r="M403" s="20">
        <f>G403*INDEX(Employees!$E$2:$E$17,MATCH(B403,Employees!$A$2:$A$17,0))</f>
        <v>154.05000000000001</v>
      </c>
    </row>
    <row r="404" spans="1:13" ht="18" x14ac:dyDescent="0.2">
      <c r="A404" s="17">
        <v>1290</v>
      </c>
      <c r="B404" s="17">
        <v>26</v>
      </c>
      <c r="C404" s="17" t="s">
        <v>376</v>
      </c>
      <c r="D404" s="17" t="s">
        <v>793</v>
      </c>
      <c r="E404" s="17" t="s">
        <v>795</v>
      </c>
      <c r="F404" s="17">
        <v>219</v>
      </c>
      <c r="G404" s="17">
        <v>8.4</v>
      </c>
      <c r="H404" s="17" t="str">
        <f>INDEX(Employees!$B$2:$B$17,MATCH(B404,Employees!$A$2:$A$17,0))</f>
        <v>Reese</v>
      </c>
      <c r="I404" s="17" t="str">
        <f>INDEX(Employees!$C$2:$C$17,MATCH(B404,Employees!$A$2:$A$17,0))</f>
        <v>Receiving Clerk</v>
      </c>
      <c r="J404" s="25">
        <f t="shared" si="12"/>
        <v>26.071428571428569</v>
      </c>
      <c r="K404" s="19">
        <f>IF(J404=0,0,J404/INDEX('Labor Dashboard'!$C$36:$C$39,MATCH(E404,'Labor Dashboard'!$B$36:$B$39,0)))</f>
        <v>0.86904761904761896</v>
      </c>
      <c r="L404" s="18">
        <f t="shared" si="13"/>
        <v>5</v>
      </c>
      <c r="M404" s="20">
        <f>G404*INDEX(Employees!$E$2:$E$17,MATCH(B404,Employees!$A$2:$A$17,0))</f>
        <v>151.20000000000002</v>
      </c>
    </row>
    <row r="405" spans="1:13" ht="18" x14ac:dyDescent="0.2">
      <c r="A405" s="17">
        <v>1291</v>
      </c>
      <c r="B405" s="17">
        <v>27</v>
      </c>
      <c r="C405" s="17" t="s">
        <v>376</v>
      </c>
      <c r="D405" s="17" t="s">
        <v>791</v>
      </c>
      <c r="E405" s="17" t="s">
        <v>795</v>
      </c>
      <c r="F405" s="17">
        <v>172</v>
      </c>
      <c r="G405" s="17">
        <v>6.6</v>
      </c>
      <c r="H405" s="17" t="str">
        <f>INDEX(Employees!$B$2:$B$17,MATCH(B405,Employees!$A$2:$A$17,0))</f>
        <v>Skyler</v>
      </c>
      <c r="I405" s="17" t="str">
        <f>INDEX(Employees!$C$2:$C$17,MATCH(B405,Employees!$A$2:$A$17,0))</f>
        <v>Receiving Clerk</v>
      </c>
      <c r="J405" s="25">
        <f t="shared" si="12"/>
        <v>26.060606060606062</v>
      </c>
      <c r="K405" s="19">
        <f>IF(J405=0,0,J405/INDEX('Labor Dashboard'!$C$36:$C$39,MATCH(E405,'Labor Dashboard'!$B$36:$B$39,0)))</f>
        <v>0.86868686868686873</v>
      </c>
      <c r="L405" s="18">
        <f t="shared" si="13"/>
        <v>5</v>
      </c>
      <c r="M405" s="20">
        <f>G405*INDEX(Employees!$E$2:$E$17,MATCH(B405,Employees!$A$2:$A$17,0))</f>
        <v>118.8</v>
      </c>
    </row>
    <row r="406" spans="1:13" ht="18" x14ac:dyDescent="0.2">
      <c r="A406" s="17">
        <v>1292</v>
      </c>
      <c r="B406" s="17">
        <v>28</v>
      </c>
      <c r="C406" s="17" t="s">
        <v>376</v>
      </c>
      <c r="D406" s="17" t="s">
        <v>793</v>
      </c>
      <c r="E406" s="17" t="s">
        <v>796</v>
      </c>
      <c r="F406" s="17">
        <v>151</v>
      </c>
      <c r="G406" s="17">
        <v>6.9</v>
      </c>
      <c r="H406" s="17" t="str">
        <f>INDEX(Employees!$B$2:$B$17,MATCH(B406,Employees!$A$2:$A$17,0))</f>
        <v>Peyton</v>
      </c>
      <c r="I406" s="17" t="str">
        <f>INDEX(Employees!$C$2:$C$17,MATCH(B406,Employees!$A$2:$A$17,0))</f>
        <v>Cycle Counter</v>
      </c>
      <c r="J406" s="25">
        <f t="shared" si="12"/>
        <v>21.884057971014492</v>
      </c>
      <c r="K406" s="19">
        <f>IF(J406=0,0,J406/INDEX('Labor Dashboard'!$C$36:$C$39,MATCH(E406,'Labor Dashboard'!$B$36:$B$39,0)))</f>
        <v>0.87536231884057969</v>
      </c>
      <c r="L406" s="18">
        <f t="shared" si="13"/>
        <v>5</v>
      </c>
      <c r="M406" s="20">
        <f>G406*INDEX(Employees!$E$2:$E$17,MATCH(B406,Employees!$A$2:$A$17,0))</f>
        <v>124.2</v>
      </c>
    </row>
    <row r="407" spans="1:13" ht="18" x14ac:dyDescent="0.2">
      <c r="A407" s="17">
        <v>1293</v>
      </c>
      <c r="B407" s="17">
        <v>29</v>
      </c>
      <c r="C407" s="17" t="s">
        <v>376</v>
      </c>
      <c r="D407" s="17" t="s">
        <v>791</v>
      </c>
      <c r="E407" s="17" t="s">
        <v>796</v>
      </c>
      <c r="F407" s="17">
        <v>202</v>
      </c>
      <c r="G407" s="17">
        <v>7.6</v>
      </c>
      <c r="H407" s="17" t="str">
        <f>INDEX(Employees!$B$2:$B$17,MATCH(B407,Employees!$A$2:$A$17,0))</f>
        <v>Rowan</v>
      </c>
      <c r="I407" s="17" t="str">
        <f>INDEX(Employees!$C$2:$C$17,MATCH(B407,Employees!$A$2:$A$17,0))</f>
        <v>Cycle Counter</v>
      </c>
      <c r="J407" s="25">
        <f t="shared" si="12"/>
        <v>26.578947368421055</v>
      </c>
      <c r="K407" s="19">
        <f>IF(J407=0,0,J407/INDEX('Labor Dashboard'!$C$36:$C$39,MATCH(E407,'Labor Dashboard'!$B$36:$B$39,0)))</f>
        <v>1.0631578947368423</v>
      </c>
      <c r="L407" s="18">
        <f t="shared" si="13"/>
        <v>5</v>
      </c>
      <c r="M407" s="20">
        <f>G407*INDEX(Employees!$E$2:$E$17,MATCH(B407,Employees!$A$2:$A$17,0))</f>
        <v>136.79999999999998</v>
      </c>
    </row>
    <row r="408" spans="1:13" ht="18" x14ac:dyDescent="0.2">
      <c r="A408" s="17">
        <v>1294</v>
      </c>
      <c r="B408" s="17">
        <v>30</v>
      </c>
      <c r="C408" s="17" t="s">
        <v>376</v>
      </c>
      <c r="D408" s="17" t="s">
        <v>793</v>
      </c>
      <c r="E408" s="17" t="s">
        <v>795</v>
      </c>
      <c r="F408" s="17">
        <v>180</v>
      </c>
      <c r="G408" s="17">
        <v>6.8</v>
      </c>
      <c r="H408" s="17" t="str">
        <f>INDEX(Employees!$B$2:$B$17,MATCH(B408,Employees!$A$2:$A$17,0))</f>
        <v>Emerson</v>
      </c>
      <c r="I408" s="17" t="str">
        <f>INDEX(Employees!$C$2:$C$17,MATCH(B408,Employees!$A$2:$A$17,0))</f>
        <v>Shift Supervisor</v>
      </c>
      <c r="J408" s="25">
        <f t="shared" si="12"/>
        <v>26.47058823529412</v>
      </c>
      <c r="K408" s="19">
        <f>IF(J408=0,0,J408/INDEX('Labor Dashboard'!$C$36:$C$39,MATCH(E408,'Labor Dashboard'!$B$36:$B$39,0)))</f>
        <v>0.88235294117647067</v>
      </c>
      <c r="L408" s="18">
        <f t="shared" si="13"/>
        <v>5</v>
      </c>
      <c r="M408" s="20">
        <f>G408*INDEX(Employees!$E$2:$E$17,MATCH(B408,Employees!$A$2:$A$17,0))</f>
        <v>163.19999999999999</v>
      </c>
    </row>
    <row r="409" spans="1:13" ht="18" x14ac:dyDescent="0.2">
      <c r="A409" s="17">
        <v>1295</v>
      </c>
      <c r="B409" s="17">
        <v>31</v>
      </c>
      <c r="C409" s="17" t="s">
        <v>376</v>
      </c>
      <c r="D409" s="17" t="s">
        <v>791</v>
      </c>
      <c r="E409" s="17" t="s">
        <v>795</v>
      </c>
      <c r="F409" s="17">
        <v>284</v>
      </c>
      <c r="G409" s="17">
        <v>8</v>
      </c>
      <c r="H409" s="17" t="str">
        <f>INDEX(Employees!$B$2:$B$17,MATCH(B409,Employees!$A$2:$A$17,0))</f>
        <v>Finley</v>
      </c>
      <c r="I409" s="17" t="str">
        <f>INDEX(Employees!$C$2:$C$17,MATCH(B409,Employees!$A$2:$A$17,0))</f>
        <v>Shift Supervisor</v>
      </c>
      <c r="J409" s="25">
        <f t="shared" si="12"/>
        <v>35.5</v>
      </c>
      <c r="K409" s="19">
        <f>IF(J409=0,0,J409/INDEX('Labor Dashboard'!$C$36:$C$39,MATCH(E409,'Labor Dashboard'!$B$36:$B$39,0)))</f>
        <v>1.1833333333333333</v>
      </c>
      <c r="L409" s="18">
        <f t="shared" si="13"/>
        <v>5</v>
      </c>
      <c r="M409" s="20">
        <f>G409*INDEX(Employees!$E$2:$E$17,MATCH(B409,Employees!$A$2:$A$17,0))</f>
        <v>192</v>
      </c>
    </row>
    <row r="410" spans="1:13" ht="18" x14ac:dyDescent="0.2">
      <c r="A410" s="17">
        <v>1296</v>
      </c>
      <c r="B410" s="17">
        <v>32</v>
      </c>
      <c r="C410" s="17" t="s">
        <v>376</v>
      </c>
      <c r="D410" s="17" t="s">
        <v>791</v>
      </c>
      <c r="E410" s="17" t="s">
        <v>792</v>
      </c>
      <c r="F410" s="17">
        <v>383</v>
      </c>
      <c r="G410" s="17">
        <v>8.3000000000000007</v>
      </c>
      <c r="H410" s="17" t="str">
        <f>INDEX(Employees!$B$2:$B$17,MATCH(B410,Employees!$A$2:$A$17,0))</f>
        <v>Sawyer</v>
      </c>
      <c r="I410" s="17" t="str">
        <f>INDEX(Employees!$C$2:$C$17,MATCH(B410,Employees!$A$2:$A$17,0))</f>
        <v>Shift Supervisor</v>
      </c>
      <c r="J410" s="25">
        <f t="shared" si="12"/>
        <v>46.144578313253007</v>
      </c>
      <c r="K410" s="19">
        <f>IF(J410=0,0,J410/INDEX('Labor Dashboard'!$C$36:$C$39,MATCH(E410,'Labor Dashboard'!$B$36:$B$39,0)))</f>
        <v>0.8389923329682365</v>
      </c>
      <c r="L410" s="18">
        <f t="shared" si="13"/>
        <v>5</v>
      </c>
      <c r="M410" s="20">
        <f>G410*INDEX(Employees!$E$2:$E$17,MATCH(B410,Employees!$A$2:$A$17,0))</f>
        <v>199.20000000000002</v>
      </c>
    </row>
    <row r="411" spans="1:13" ht="18" x14ac:dyDescent="0.2">
      <c r="A411" s="17">
        <v>1297</v>
      </c>
      <c r="B411" s="17">
        <v>17</v>
      </c>
      <c r="C411" s="17" t="s">
        <v>178</v>
      </c>
      <c r="D411" s="17" t="s">
        <v>791</v>
      </c>
      <c r="E411" s="17" t="s">
        <v>792</v>
      </c>
      <c r="F411" s="17">
        <v>417</v>
      </c>
      <c r="G411" s="17">
        <v>8.1</v>
      </c>
      <c r="H411" s="17" t="str">
        <f>INDEX(Employees!$B$2:$B$17,MATCH(B411,Employees!$A$2:$A$17,0))</f>
        <v>Jordan</v>
      </c>
      <c r="I411" s="17" t="str">
        <f>INDEX(Employees!$C$2:$C$17,MATCH(B411,Employees!$A$2:$A$17,0))</f>
        <v>Picker</v>
      </c>
      <c r="J411" s="25">
        <f t="shared" si="12"/>
        <v>51.481481481481481</v>
      </c>
      <c r="K411" s="19">
        <f>IF(J411=0,0,J411/INDEX('Labor Dashboard'!$C$36:$C$39,MATCH(E411,'Labor Dashboard'!$B$36:$B$39,0)))</f>
        <v>0.93602693602693599</v>
      </c>
      <c r="L411" s="18">
        <f t="shared" si="13"/>
        <v>6</v>
      </c>
      <c r="M411" s="20">
        <f>G411*INDEX(Employees!$E$2:$E$17,MATCH(B411,Employees!$A$2:$A$17,0))</f>
        <v>137.69999999999999</v>
      </c>
    </row>
    <row r="412" spans="1:13" ht="18" x14ac:dyDescent="0.2">
      <c r="A412" s="17">
        <v>1298</v>
      </c>
      <c r="B412" s="17">
        <v>18</v>
      </c>
      <c r="C412" s="17" t="s">
        <v>178</v>
      </c>
      <c r="D412" s="17" t="s">
        <v>791</v>
      </c>
      <c r="E412" s="17" t="s">
        <v>792</v>
      </c>
      <c r="F412" s="17">
        <v>391</v>
      </c>
      <c r="G412" s="17">
        <v>6.7</v>
      </c>
      <c r="H412" s="17" t="str">
        <f>INDEX(Employees!$B$2:$B$17,MATCH(B412,Employees!$A$2:$A$17,0))</f>
        <v>Casey</v>
      </c>
      <c r="I412" s="17" t="str">
        <f>INDEX(Employees!$C$2:$C$17,MATCH(B412,Employees!$A$2:$A$17,0))</f>
        <v>Picker</v>
      </c>
      <c r="J412" s="25">
        <f t="shared" si="12"/>
        <v>58.35820895522388</v>
      </c>
      <c r="K412" s="19">
        <f>IF(J412=0,0,J412/INDEX('Labor Dashboard'!$C$36:$C$39,MATCH(E412,'Labor Dashboard'!$B$36:$B$39,0)))</f>
        <v>1.0610583446404342</v>
      </c>
      <c r="L412" s="18">
        <f t="shared" si="13"/>
        <v>6</v>
      </c>
      <c r="M412" s="20">
        <f>G412*INDEX(Employees!$E$2:$E$17,MATCH(B412,Employees!$A$2:$A$17,0))</f>
        <v>113.9</v>
      </c>
    </row>
    <row r="413" spans="1:13" ht="18" x14ac:dyDescent="0.2">
      <c r="A413" s="17">
        <v>1299</v>
      </c>
      <c r="B413" s="17">
        <v>20</v>
      </c>
      <c r="C413" s="17" t="s">
        <v>178</v>
      </c>
      <c r="D413" s="17" t="s">
        <v>793</v>
      </c>
      <c r="E413" s="17" t="s">
        <v>792</v>
      </c>
      <c r="F413" s="17">
        <v>378</v>
      </c>
      <c r="G413" s="17">
        <v>7.1</v>
      </c>
      <c r="H413" s="17" t="str">
        <f>INDEX(Employees!$B$2:$B$17,MATCH(B413,Employees!$A$2:$A$17,0))</f>
        <v>Taylor</v>
      </c>
      <c r="I413" s="17" t="str">
        <f>INDEX(Employees!$C$2:$C$17,MATCH(B413,Employees!$A$2:$A$17,0))</f>
        <v>Picker</v>
      </c>
      <c r="J413" s="25">
        <f t="shared" si="12"/>
        <v>53.239436619718312</v>
      </c>
      <c r="K413" s="19">
        <f>IF(J413=0,0,J413/INDEX('Labor Dashboard'!$C$36:$C$39,MATCH(E413,'Labor Dashboard'!$B$36:$B$39,0)))</f>
        <v>0.96798975672215115</v>
      </c>
      <c r="L413" s="18">
        <f t="shared" si="13"/>
        <v>6</v>
      </c>
      <c r="M413" s="20">
        <f>G413*INDEX(Employees!$E$2:$E$17,MATCH(B413,Employees!$A$2:$A$17,0))</f>
        <v>120.69999999999999</v>
      </c>
    </row>
    <row r="414" spans="1:13" ht="18" x14ac:dyDescent="0.2">
      <c r="A414" s="17">
        <v>1300</v>
      </c>
      <c r="B414" s="17">
        <v>21</v>
      </c>
      <c r="C414" s="17" t="s">
        <v>178</v>
      </c>
      <c r="D414" s="17" t="s">
        <v>793</v>
      </c>
      <c r="E414" s="17" t="s">
        <v>794</v>
      </c>
      <c r="F414" s="17">
        <v>352</v>
      </c>
      <c r="G414" s="17">
        <v>8.5</v>
      </c>
      <c r="H414" s="17" t="str">
        <f>INDEX(Employees!$B$2:$B$17,MATCH(B414,Employees!$A$2:$A$17,0))</f>
        <v>Riley</v>
      </c>
      <c r="I414" s="17" t="str">
        <f>INDEX(Employees!$C$2:$C$17,MATCH(B414,Employees!$A$2:$A$17,0))</f>
        <v>Packer</v>
      </c>
      <c r="J414" s="25">
        <f t="shared" si="12"/>
        <v>41.411764705882355</v>
      </c>
      <c r="K414" s="19">
        <f>IF(J414=0,0,J414/INDEX('Labor Dashboard'!$C$36:$C$39,MATCH(E414,'Labor Dashboard'!$B$36:$B$39,0)))</f>
        <v>0.92026143790849679</v>
      </c>
      <c r="L414" s="18">
        <f t="shared" si="13"/>
        <v>6</v>
      </c>
      <c r="M414" s="20">
        <f>G414*INDEX(Employees!$E$2:$E$17,MATCH(B414,Employees!$A$2:$A$17,0))</f>
        <v>144.5</v>
      </c>
    </row>
    <row r="415" spans="1:13" ht="18" x14ac:dyDescent="0.2">
      <c r="A415" s="17">
        <v>1301</v>
      </c>
      <c r="B415" s="17">
        <v>22</v>
      </c>
      <c r="C415" s="17" t="s">
        <v>178</v>
      </c>
      <c r="D415" s="17" t="s">
        <v>793</v>
      </c>
      <c r="E415" s="17" t="s">
        <v>794</v>
      </c>
      <c r="F415" s="17">
        <v>331</v>
      </c>
      <c r="G415" s="17">
        <v>7.3</v>
      </c>
      <c r="H415" s="17" t="str">
        <f>INDEX(Employees!$B$2:$B$17,MATCH(B415,Employees!$A$2:$A$17,0))</f>
        <v>Avery</v>
      </c>
      <c r="I415" s="17" t="str">
        <f>INDEX(Employees!$C$2:$C$17,MATCH(B415,Employees!$A$2:$A$17,0))</f>
        <v>Packer</v>
      </c>
      <c r="J415" s="25">
        <f t="shared" si="12"/>
        <v>45.342465753424662</v>
      </c>
      <c r="K415" s="19">
        <f>IF(J415=0,0,J415/INDEX('Labor Dashboard'!$C$36:$C$39,MATCH(E415,'Labor Dashboard'!$B$36:$B$39,0)))</f>
        <v>1.0076103500761036</v>
      </c>
      <c r="L415" s="18">
        <f t="shared" si="13"/>
        <v>6</v>
      </c>
      <c r="M415" s="20">
        <f>G415*INDEX(Employees!$E$2:$E$17,MATCH(B415,Employees!$A$2:$A$17,0))</f>
        <v>124.1</v>
      </c>
    </row>
    <row r="416" spans="1:13" ht="18" x14ac:dyDescent="0.2">
      <c r="A416" s="17">
        <v>1302</v>
      </c>
      <c r="B416" s="17">
        <v>23</v>
      </c>
      <c r="C416" s="17" t="s">
        <v>178</v>
      </c>
      <c r="D416" s="17" t="s">
        <v>791</v>
      </c>
      <c r="E416" s="17" t="s">
        <v>794</v>
      </c>
      <c r="F416" s="17">
        <v>319</v>
      </c>
      <c r="G416" s="17">
        <v>7.1</v>
      </c>
      <c r="H416" s="17" t="str">
        <f>INDEX(Employees!$B$2:$B$17,MATCH(B416,Employees!$A$2:$A$17,0))</f>
        <v>Cameron</v>
      </c>
      <c r="I416" s="17" t="str">
        <f>INDEX(Employees!$C$2:$C$17,MATCH(B416,Employees!$A$2:$A$17,0))</f>
        <v>Packer</v>
      </c>
      <c r="J416" s="25">
        <f t="shared" si="12"/>
        <v>44.929577464788736</v>
      </c>
      <c r="K416" s="19">
        <f>IF(J416=0,0,J416/INDEX('Labor Dashboard'!$C$36:$C$39,MATCH(E416,'Labor Dashboard'!$B$36:$B$39,0)))</f>
        <v>0.99843505477308303</v>
      </c>
      <c r="L416" s="18">
        <f t="shared" si="13"/>
        <v>6</v>
      </c>
      <c r="M416" s="20">
        <f>G416*INDEX(Employees!$E$2:$E$17,MATCH(B416,Employees!$A$2:$A$17,0))</f>
        <v>120.69999999999999</v>
      </c>
    </row>
    <row r="417" spans="1:13" ht="18" x14ac:dyDescent="0.2">
      <c r="A417" s="17">
        <v>1303</v>
      </c>
      <c r="B417" s="17">
        <v>24</v>
      </c>
      <c r="C417" s="17" t="s">
        <v>178</v>
      </c>
      <c r="D417" s="17" t="s">
        <v>791</v>
      </c>
      <c r="E417" s="17" t="s">
        <v>792</v>
      </c>
      <c r="F417" s="17">
        <v>414</v>
      </c>
      <c r="G417" s="17">
        <v>6.9</v>
      </c>
      <c r="H417" s="17" t="str">
        <f>INDEX(Employees!$B$2:$B$17,MATCH(B417,Employees!$A$2:$A$17,0))</f>
        <v>Dakota</v>
      </c>
      <c r="I417" s="17" t="str">
        <f>INDEX(Employees!$C$2:$C$17,MATCH(B417,Employees!$A$2:$A$17,0))</f>
        <v>Forklift Operator</v>
      </c>
      <c r="J417" s="25">
        <f t="shared" si="12"/>
        <v>60</v>
      </c>
      <c r="K417" s="19">
        <f>IF(J417=0,0,J417/INDEX('Labor Dashboard'!$C$36:$C$39,MATCH(E417,'Labor Dashboard'!$B$36:$B$39,0)))</f>
        <v>1.0909090909090908</v>
      </c>
      <c r="L417" s="18">
        <f t="shared" si="13"/>
        <v>6</v>
      </c>
      <c r="M417" s="20">
        <f>G417*INDEX(Employees!$E$2:$E$17,MATCH(B417,Employees!$A$2:$A$17,0))</f>
        <v>134.55000000000001</v>
      </c>
    </row>
    <row r="418" spans="1:13" ht="18" x14ac:dyDescent="0.2">
      <c r="A418" s="17">
        <v>1304</v>
      </c>
      <c r="B418" s="17">
        <v>25</v>
      </c>
      <c r="C418" s="17" t="s">
        <v>178</v>
      </c>
      <c r="D418" s="17" t="s">
        <v>791</v>
      </c>
      <c r="E418" s="17" t="s">
        <v>792</v>
      </c>
      <c r="F418" s="17">
        <v>377</v>
      </c>
      <c r="G418" s="17">
        <v>7.3</v>
      </c>
      <c r="H418" s="17" t="str">
        <f>INDEX(Employees!$B$2:$B$17,MATCH(B418,Employees!$A$2:$A$17,0))</f>
        <v>Hayden</v>
      </c>
      <c r="I418" s="17" t="str">
        <f>INDEX(Employees!$C$2:$C$17,MATCH(B418,Employees!$A$2:$A$17,0))</f>
        <v>Forklift Operator</v>
      </c>
      <c r="J418" s="25">
        <f t="shared" si="12"/>
        <v>51.643835616438359</v>
      </c>
      <c r="K418" s="19">
        <f>IF(J418=0,0,J418/INDEX('Labor Dashboard'!$C$36:$C$39,MATCH(E418,'Labor Dashboard'!$B$36:$B$39,0)))</f>
        <v>0.93897882938978838</v>
      </c>
      <c r="L418" s="18">
        <f t="shared" si="13"/>
        <v>6</v>
      </c>
      <c r="M418" s="20">
        <f>G418*INDEX(Employees!$E$2:$E$17,MATCH(B418,Employees!$A$2:$A$17,0))</f>
        <v>142.35</v>
      </c>
    </row>
    <row r="419" spans="1:13" ht="18" x14ac:dyDescent="0.2">
      <c r="A419" s="17">
        <v>1305</v>
      </c>
      <c r="B419" s="17">
        <v>26</v>
      </c>
      <c r="C419" s="17" t="s">
        <v>178</v>
      </c>
      <c r="D419" s="17" t="s">
        <v>791</v>
      </c>
      <c r="E419" s="17" t="s">
        <v>795</v>
      </c>
      <c r="F419" s="17">
        <v>179</v>
      </c>
      <c r="G419" s="17">
        <v>6.6</v>
      </c>
      <c r="H419" s="17" t="str">
        <f>INDEX(Employees!$B$2:$B$17,MATCH(B419,Employees!$A$2:$A$17,0))</f>
        <v>Reese</v>
      </c>
      <c r="I419" s="17" t="str">
        <f>INDEX(Employees!$C$2:$C$17,MATCH(B419,Employees!$A$2:$A$17,0))</f>
        <v>Receiving Clerk</v>
      </c>
      <c r="J419" s="25">
        <f t="shared" si="12"/>
        <v>27.121212121212121</v>
      </c>
      <c r="K419" s="19">
        <f>IF(J419=0,0,J419/INDEX('Labor Dashboard'!$C$36:$C$39,MATCH(E419,'Labor Dashboard'!$B$36:$B$39,0)))</f>
        <v>0.90404040404040409</v>
      </c>
      <c r="L419" s="18">
        <f t="shared" si="13"/>
        <v>6</v>
      </c>
      <c r="M419" s="20">
        <f>G419*INDEX(Employees!$E$2:$E$17,MATCH(B419,Employees!$A$2:$A$17,0))</f>
        <v>118.8</v>
      </c>
    </row>
    <row r="420" spans="1:13" ht="18" x14ac:dyDescent="0.2">
      <c r="A420" s="17">
        <v>1306</v>
      </c>
      <c r="B420" s="17">
        <v>29</v>
      </c>
      <c r="C420" s="17" t="s">
        <v>178</v>
      </c>
      <c r="D420" s="17" t="s">
        <v>793</v>
      </c>
      <c r="E420" s="17" t="s">
        <v>796</v>
      </c>
      <c r="F420" s="17">
        <v>224</v>
      </c>
      <c r="G420" s="17">
        <v>8.3000000000000007</v>
      </c>
      <c r="H420" s="17" t="str">
        <f>INDEX(Employees!$B$2:$B$17,MATCH(B420,Employees!$A$2:$A$17,0))</f>
        <v>Rowan</v>
      </c>
      <c r="I420" s="17" t="str">
        <f>INDEX(Employees!$C$2:$C$17,MATCH(B420,Employees!$A$2:$A$17,0))</f>
        <v>Cycle Counter</v>
      </c>
      <c r="J420" s="25">
        <f t="shared" si="12"/>
        <v>26.987951807228914</v>
      </c>
      <c r="K420" s="19">
        <f>IF(J420=0,0,J420/INDEX('Labor Dashboard'!$C$36:$C$39,MATCH(E420,'Labor Dashboard'!$B$36:$B$39,0)))</f>
        <v>1.0795180722891566</v>
      </c>
      <c r="L420" s="18">
        <f t="shared" si="13"/>
        <v>6</v>
      </c>
      <c r="M420" s="20">
        <f>G420*INDEX(Employees!$E$2:$E$17,MATCH(B420,Employees!$A$2:$A$17,0))</f>
        <v>149.4</v>
      </c>
    </row>
    <row r="421" spans="1:13" ht="18" x14ac:dyDescent="0.2">
      <c r="A421" s="17">
        <v>1307</v>
      </c>
      <c r="B421" s="17">
        <v>30</v>
      </c>
      <c r="C421" s="17" t="s">
        <v>178</v>
      </c>
      <c r="D421" s="17" t="s">
        <v>791</v>
      </c>
      <c r="E421" s="17" t="s">
        <v>796</v>
      </c>
      <c r="F421" s="17">
        <v>157</v>
      </c>
      <c r="G421" s="17">
        <v>7.3</v>
      </c>
      <c r="H421" s="17" t="str">
        <f>INDEX(Employees!$B$2:$B$17,MATCH(B421,Employees!$A$2:$A$17,0))</f>
        <v>Emerson</v>
      </c>
      <c r="I421" s="17" t="str">
        <f>INDEX(Employees!$C$2:$C$17,MATCH(B421,Employees!$A$2:$A$17,0))</f>
        <v>Shift Supervisor</v>
      </c>
      <c r="J421" s="25">
        <f t="shared" si="12"/>
        <v>21.506849315068493</v>
      </c>
      <c r="K421" s="19">
        <f>IF(J421=0,0,J421/INDEX('Labor Dashboard'!$C$36:$C$39,MATCH(E421,'Labor Dashboard'!$B$36:$B$39,0)))</f>
        <v>0.86027397260273974</v>
      </c>
      <c r="L421" s="18">
        <f t="shared" si="13"/>
        <v>6</v>
      </c>
      <c r="M421" s="20">
        <f>G421*INDEX(Employees!$E$2:$E$17,MATCH(B421,Employees!$A$2:$A$17,0))</f>
        <v>175.2</v>
      </c>
    </row>
    <row r="422" spans="1:13" ht="18" x14ac:dyDescent="0.2">
      <c r="A422" s="17">
        <v>1308</v>
      </c>
      <c r="B422" s="17">
        <v>32</v>
      </c>
      <c r="C422" s="17" t="s">
        <v>178</v>
      </c>
      <c r="D422" s="17" t="s">
        <v>793</v>
      </c>
      <c r="E422" s="17" t="s">
        <v>795</v>
      </c>
      <c r="F422" s="17">
        <v>192</v>
      </c>
      <c r="G422" s="17">
        <v>7.2</v>
      </c>
      <c r="H422" s="17" t="str">
        <f>INDEX(Employees!$B$2:$B$17,MATCH(B422,Employees!$A$2:$A$17,0))</f>
        <v>Sawyer</v>
      </c>
      <c r="I422" s="17" t="str">
        <f>INDEX(Employees!$C$2:$C$17,MATCH(B422,Employees!$A$2:$A$17,0))</f>
        <v>Shift Supervisor</v>
      </c>
      <c r="J422" s="25">
        <f t="shared" si="12"/>
        <v>26.666666666666664</v>
      </c>
      <c r="K422" s="19">
        <f>IF(J422=0,0,J422/INDEX('Labor Dashboard'!$C$36:$C$39,MATCH(E422,'Labor Dashboard'!$B$36:$B$39,0)))</f>
        <v>0.88888888888888884</v>
      </c>
      <c r="L422" s="18">
        <f t="shared" si="13"/>
        <v>6</v>
      </c>
      <c r="M422" s="20">
        <f>G422*INDEX(Employees!$E$2:$E$17,MATCH(B422,Employees!$A$2:$A$17,0))</f>
        <v>172.8</v>
      </c>
    </row>
    <row r="423" spans="1:13" ht="18" x14ac:dyDescent="0.2">
      <c r="A423" s="17">
        <v>1309</v>
      </c>
      <c r="B423" s="17">
        <v>17</v>
      </c>
      <c r="C423" s="17" t="s">
        <v>389</v>
      </c>
      <c r="D423" s="17" t="s">
        <v>793</v>
      </c>
      <c r="E423" s="17" t="s">
        <v>792</v>
      </c>
      <c r="F423" s="17">
        <v>368</v>
      </c>
      <c r="G423" s="17">
        <v>7.6</v>
      </c>
      <c r="H423" s="17" t="str">
        <f>INDEX(Employees!$B$2:$B$17,MATCH(B423,Employees!$A$2:$A$17,0))</f>
        <v>Jordan</v>
      </c>
      <c r="I423" s="17" t="str">
        <f>INDEX(Employees!$C$2:$C$17,MATCH(B423,Employees!$A$2:$A$17,0))</f>
        <v>Picker</v>
      </c>
      <c r="J423" s="25">
        <f t="shared" si="12"/>
        <v>48.421052631578952</v>
      </c>
      <c r="K423" s="19">
        <f>IF(J423=0,0,J423/INDEX('Labor Dashboard'!$C$36:$C$39,MATCH(E423,'Labor Dashboard'!$B$36:$B$39,0)))</f>
        <v>0.88038277511961727</v>
      </c>
      <c r="L423" s="18">
        <f t="shared" si="13"/>
        <v>6</v>
      </c>
      <c r="M423" s="20">
        <f>G423*INDEX(Employees!$E$2:$E$17,MATCH(B423,Employees!$A$2:$A$17,0))</f>
        <v>129.19999999999999</v>
      </c>
    </row>
    <row r="424" spans="1:13" ht="18" x14ac:dyDescent="0.2">
      <c r="A424" s="17">
        <v>1310</v>
      </c>
      <c r="B424" s="17">
        <v>18</v>
      </c>
      <c r="C424" s="17" t="s">
        <v>389</v>
      </c>
      <c r="D424" s="17" t="s">
        <v>791</v>
      </c>
      <c r="E424" s="17" t="s">
        <v>792</v>
      </c>
      <c r="F424" s="17">
        <v>435</v>
      </c>
      <c r="G424" s="17">
        <v>6.9</v>
      </c>
      <c r="H424" s="17" t="str">
        <f>INDEX(Employees!$B$2:$B$17,MATCH(B424,Employees!$A$2:$A$17,0))</f>
        <v>Casey</v>
      </c>
      <c r="I424" s="17" t="str">
        <f>INDEX(Employees!$C$2:$C$17,MATCH(B424,Employees!$A$2:$A$17,0))</f>
        <v>Picker</v>
      </c>
      <c r="J424" s="25">
        <f t="shared" si="12"/>
        <v>63.043478260869563</v>
      </c>
      <c r="K424" s="19">
        <f>IF(J424=0,0,J424/INDEX('Labor Dashboard'!$C$36:$C$39,MATCH(E424,'Labor Dashboard'!$B$36:$B$39,0)))</f>
        <v>1.1462450592885376</v>
      </c>
      <c r="L424" s="18">
        <f t="shared" si="13"/>
        <v>6</v>
      </c>
      <c r="M424" s="20">
        <f>G424*INDEX(Employees!$E$2:$E$17,MATCH(B424,Employees!$A$2:$A$17,0))</f>
        <v>117.30000000000001</v>
      </c>
    </row>
    <row r="425" spans="1:13" ht="18" x14ac:dyDescent="0.2">
      <c r="A425" s="17">
        <v>1311</v>
      </c>
      <c r="B425" s="17">
        <v>19</v>
      </c>
      <c r="C425" s="17" t="s">
        <v>389</v>
      </c>
      <c r="D425" s="17" t="s">
        <v>791</v>
      </c>
      <c r="E425" s="17" t="s">
        <v>792</v>
      </c>
      <c r="F425" s="17">
        <v>418</v>
      </c>
      <c r="G425" s="17">
        <v>7.5</v>
      </c>
      <c r="H425" s="17" t="str">
        <f>INDEX(Employees!$B$2:$B$17,MATCH(B425,Employees!$A$2:$A$17,0))</f>
        <v>Morgan</v>
      </c>
      <c r="I425" s="17" t="str">
        <f>INDEX(Employees!$C$2:$C$17,MATCH(B425,Employees!$A$2:$A$17,0))</f>
        <v>Picker</v>
      </c>
      <c r="J425" s="25">
        <f t="shared" si="12"/>
        <v>55.733333333333334</v>
      </c>
      <c r="K425" s="19">
        <f>IF(J425=0,0,J425/INDEX('Labor Dashboard'!$C$36:$C$39,MATCH(E425,'Labor Dashboard'!$B$36:$B$39,0)))</f>
        <v>1.0133333333333334</v>
      </c>
      <c r="L425" s="18">
        <f t="shared" si="13"/>
        <v>6</v>
      </c>
      <c r="M425" s="20">
        <f>G425*INDEX(Employees!$E$2:$E$17,MATCH(B425,Employees!$A$2:$A$17,0))</f>
        <v>127.5</v>
      </c>
    </row>
    <row r="426" spans="1:13" ht="18" x14ac:dyDescent="0.2">
      <c r="A426" s="17">
        <v>1312</v>
      </c>
      <c r="B426" s="17">
        <v>21</v>
      </c>
      <c r="C426" s="17" t="s">
        <v>389</v>
      </c>
      <c r="D426" s="17" t="s">
        <v>791</v>
      </c>
      <c r="E426" s="17" t="s">
        <v>794</v>
      </c>
      <c r="F426" s="17">
        <v>319</v>
      </c>
      <c r="G426" s="17">
        <v>7.4</v>
      </c>
      <c r="H426" s="17" t="str">
        <f>INDEX(Employees!$B$2:$B$17,MATCH(B426,Employees!$A$2:$A$17,0))</f>
        <v>Riley</v>
      </c>
      <c r="I426" s="17" t="str">
        <f>INDEX(Employees!$C$2:$C$17,MATCH(B426,Employees!$A$2:$A$17,0))</f>
        <v>Packer</v>
      </c>
      <c r="J426" s="25">
        <f t="shared" si="12"/>
        <v>43.108108108108105</v>
      </c>
      <c r="K426" s="19">
        <f>IF(J426=0,0,J426/INDEX('Labor Dashboard'!$C$36:$C$39,MATCH(E426,'Labor Dashboard'!$B$36:$B$39,0)))</f>
        <v>0.95795795795795791</v>
      </c>
      <c r="L426" s="18">
        <f t="shared" si="13"/>
        <v>6</v>
      </c>
      <c r="M426" s="20">
        <f>G426*INDEX(Employees!$E$2:$E$17,MATCH(B426,Employees!$A$2:$A$17,0))</f>
        <v>125.80000000000001</v>
      </c>
    </row>
    <row r="427" spans="1:13" ht="18" x14ac:dyDescent="0.2">
      <c r="A427" s="17">
        <v>1313</v>
      </c>
      <c r="B427" s="17">
        <v>22</v>
      </c>
      <c r="C427" s="17" t="s">
        <v>389</v>
      </c>
      <c r="D427" s="17" t="s">
        <v>793</v>
      </c>
      <c r="E427" s="17" t="s">
        <v>794</v>
      </c>
      <c r="F427" s="17">
        <v>313</v>
      </c>
      <c r="G427" s="17">
        <v>6.6</v>
      </c>
      <c r="H427" s="17" t="str">
        <f>INDEX(Employees!$B$2:$B$17,MATCH(B427,Employees!$A$2:$A$17,0))</f>
        <v>Avery</v>
      </c>
      <c r="I427" s="17" t="str">
        <f>INDEX(Employees!$C$2:$C$17,MATCH(B427,Employees!$A$2:$A$17,0))</f>
        <v>Packer</v>
      </c>
      <c r="J427" s="25">
        <f t="shared" si="12"/>
        <v>47.424242424242429</v>
      </c>
      <c r="K427" s="19">
        <f>IF(J427=0,0,J427/INDEX('Labor Dashboard'!$C$36:$C$39,MATCH(E427,'Labor Dashboard'!$B$36:$B$39,0)))</f>
        <v>1.0538720538720541</v>
      </c>
      <c r="L427" s="18">
        <f t="shared" si="13"/>
        <v>6</v>
      </c>
      <c r="M427" s="20">
        <f>G427*INDEX(Employees!$E$2:$E$17,MATCH(B427,Employees!$A$2:$A$17,0))</f>
        <v>112.19999999999999</v>
      </c>
    </row>
    <row r="428" spans="1:13" ht="18" x14ac:dyDescent="0.2">
      <c r="A428" s="17">
        <v>1314</v>
      </c>
      <c r="B428" s="17">
        <v>24</v>
      </c>
      <c r="C428" s="17" t="s">
        <v>389</v>
      </c>
      <c r="D428" s="17" t="s">
        <v>791</v>
      </c>
      <c r="E428" s="17" t="s">
        <v>795</v>
      </c>
      <c r="F428" s="17">
        <v>263</v>
      </c>
      <c r="G428" s="17">
        <v>8.1</v>
      </c>
      <c r="H428" s="17" t="str">
        <f>INDEX(Employees!$B$2:$B$17,MATCH(B428,Employees!$A$2:$A$17,0))</f>
        <v>Dakota</v>
      </c>
      <c r="I428" s="17" t="str">
        <f>INDEX(Employees!$C$2:$C$17,MATCH(B428,Employees!$A$2:$A$17,0))</f>
        <v>Forklift Operator</v>
      </c>
      <c r="J428" s="25">
        <f t="shared" si="12"/>
        <v>32.46913580246914</v>
      </c>
      <c r="K428" s="19">
        <f>IF(J428=0,0,J428/INDEX('Labor Dashboard'!$C$36:$C$39,MATCH(E428,'Labor Dashboard'!$B$36:$B$39,0)))</f>
        <v>1.0823045267489713</v>
      </c>
      <c r="L428" s="18">
        <f t="shared" si="13"/>
        <v>6</v>
      </c>
      <c r="M428" s="20">
        <f>G428*INDEX(Employees!$E$2:$E$17,MATCH(B428,Employees!$A$2:$A$17,0))</f>
        <v>157.94999999999999</v>
      </c>
    </row>
    <row r="429" spans="1:13" ht="18" x14ac:dyDescent="0.2">
      <c r="A429" s="17">
        <v>1315</v>
      </c>
      <c r="B429" s="17">
        <v>25</v>
      </c>
      <c r="C429" s="17" t="s">
        <v>389</v>
      </c>
      <c r="D429" s="17" t="s">
        <v>793</v>
      </c>
      <c r="E429" s="17" t="s">
        <v>795</v>
      </c>
      <c r="F429" s="17">
        <v>211</v>
      </c>
      <c r="G429" s="17">
        <v>7.7</v>
      </c>
      <c r="H429" s="17" t="str">
        <f>INDEX(Employees!$B$2:$B$17,MATCH(B429,Employees!$A$2:$A$17,0))</f>
        <v>Hayden</v>
      </c>
      <c r="I429" s="17" t="str">
        <f>INDEX(Employees!$C$2:$C$17,MATCH(B429,Employees!$A$2:$A$17,0))</f>
        <v>Forklift Operator</v>
      </c>
      <c r="J429" s="25">
        <f t="shared" si="12"/>
        <v>27.402597402597401</v>
      </c>
      <c r="K429" s="19">
        <f>IF(J429=0,0,J429/INDEX('Labor Dashboard'!$C$36:$C$39,MATCH(E429,'Labor Dashboard'!$B$36:$B$39,0)))</f>
        <v>0.91341991341991335</v>
      </c>
      <c r="L429" s="18">
        <f t="shared" si="13"/>
        <v>6</v>
      </c>
      <c r="M429" s="20">
        <f>G429*INDEX(Employees!$E$2:$E$17,MATCH(B429,Employees!$A$2:$A$17,0))</f>
        <v>150.15</v>
      </c>
    </row>
    <row r="430" spans="1:13" ht="18" x14ac:dyDescent="0.2">
      <c r="A430" s="17">
        <v>1316</v>
      </c>
      <c r="B430" s="17">
        <v>26</v>
      </c>
      <c r="C430" s="17" t="s">
        <v>389</v>
      </c>
      <c r="D430" s="17" t="s">
        <v>791</v>
      </c>
      <c r="E430" s="17" t="s">
        <v>795</v>
      </c>
      <c r="F430" s="17">
        <v>223</v>
      </c>
      <c r="G430" s="17">
        <v>7.9</v>
      </c>
      <c r="H430" s="17" t="str">
        <f>INDEX(Employees!$B$2:$B$17,MATCH(B430,Employees!$A$2:$A$17,0))</f>
        <v>Reese</v>
      </c>
      <c r="I430" s="17" t="str">
        <f>INDEX(Employees!$C$2:$C$17,MATCH(B430,Employees!$A$2:$A$17,0))</f>
        <v>Receiving Clerk</v>
      </c>
      <c r="J430" s="25">
        <f t="shared" si="12"/>
        <v>28.22784810126582</v>
      </c>
      <c r="K430" s="19">
        <f>IF(J430=0,0,J430/INDEX('Labor Dashboard'!$C$36:$C$39,MATCH(E430,'Labor Dashboard'!$B$36:$B$39,0)))</f>
        <v>0.94092827004219404</v>
      </c>
      <c r="L430" s="18">
        <f t="shared" si="13"/>
        <v>6</v>
      </c>
      <c r="M430" s="20">
        <f>G430*INDEX(Employees!$E$2:$E$17,MATCH(B430,Employees!$A$2:$A$17,0))</f>
        <v>142.20000000000002</v>
      </c>
    </row>
    <row r="431" spans="1:13" ht="18" x14ac:dyDescent="0.2">
      <c r="A431" s="17">
        <v>1317</v>
      </c>
      <c r="B431" s="17">
        <v>27</v>
      </c>
      <c r="C431" s="17" t="s">
        <v>389</v>
      </c>
      <c r="D431" s="17" t="s">
        <v>791</v>
      </c>
      <c r="E431" s="17" t="s">
        <v>795</v>
      </c>
      <c r="F431" s="17">
        <v>169</v>
      </c>
      <c r="G431" s="17">
        <v>6.5</v>
      </c>
      <c r="H431" s="17" t="str">
        <f>INDEX(Employees!$B$2:$B$17,MATCH(B431,Employees!$A$2:$A$17,0))</f>
        <v>Skyler</v>
      </c>
      <c r="I431" s="17" t="str">
        <f>INDEX(Employees!$C$2:$C$17,MATCH(B431,Employees!$A$2:$A$17,0))</f>
        <v>Receiving Clerk</v>
      </c>
      <c r="J431" s="25">
        <f t="shared" si="12"/>
        <v>26</v>
      </c>
      <c r="K431" s="19">
        <f>IF(J431=0,0,J431/INDEX('Labor Dashboard'!$C$36:$C$39,MATCH(E431,'Labor Dashboard'!$B$36:$B$39,0)))</f>
        <v>0.8666666666666667</v>
      </c>
      <c r="L431" s="18">
        <f t="shared" si="13"/>
        <v>6</v>
      </c>
      <c r="M431" s="20">
        <f>G431*INDEX(Employees!$E$2:$E$17,MATCH(B431,Employees!$A$2:$A$17,0))</f>
        <v>117</v>
      </c>
    </row>
    <row r="432" spans="1:13" ht="18" x14ac:dyDescent="0.2">
      <c r="A432" s="17">
        <v>1318</v>
      </c>
      <c r="B432" s="17">
        <v>28</v>
      </c>
      <c r="C432" s="17" t="s">
        <v>389</v>
      </c>
      <c r="D432" s="17" t="s">
        <v>791</v>
      </c>
      <c r="E432" s="17" t="s">
        <v>796</v>
      </c>
      <c r="F432" s="17">
        <v>166</v>
      </c>
      <c r="G432" s="17">
        <v>7.7</v>
      </c>
      <c r="H432" s="17" t="str">
        <f>INDEX(Employees!$B$2:$B$17,MATCH(B432,Employees!$A$2:$A$17,0))</f>
        <v>Peyton</v>
      </c>
      <c r="I432" s="17" t="str">
        <f>INDEX(Employees!$C$2:$C$17,MATCH(B432,Employees!$A$2:$A$17,0))</f>
        <v>Cycle Counter</v>
      </c>
      <c r="J432" s="25">
        <f t="shared" si="12"/>
        <v>21.558441558441558</v>
      </c>
      <c r="K432" s="19">
        <f>IF(J432=0,0,J432/INDEX('Labor Dashboard'!$C$36:$C$39,MATCH(E432,'Labor Dashboard'!$B$36:$B$39,0)))</f>
        <v>0.86233766233766229</v>
      </c>
      <c r="L432" s="18">
        <f t="shared" si="13"/>
        <v>6</v>
      </c>
      <c r="M432" s="20">
        <f>G432*INDEX(Employees!$E$2:$E$17,MATCH(B432,Employees!$A$2:$A$17,0))</f>
        <v>138.6</v>
      </c>
    </row>
    <row r="433" spans="1:13" ht="18" x14ac:dyDescent="0.2">
      <c r="A433" s="17">
        <v>1319</v>
      </c>
      <c r="B433" s="17">
        <v>29</v>
      </c>
      <c r="C433" s="17" t="s">
        <v>389</v>
      </c>
      <c r="D433" s="17" t="s">
        <v>793</v>
      </c>
      <c r="E433" s="17" t="s">
        <v>796</v>
      </c>
      <c r="F433" s="17">
        <v>192</v>
      </c>
      <c r="G433" s="17">
        <v>8.1999999999999993</v>
      </c>
      <c r="H433" s="17" t="str">
        <f>INDEX(Employees!$B$2:$B$17,MATCH(B433,Employees!$A$2:$A$17,0))</f>
        <v>Rowan</v>
      </c>
      <c r="I433" s="17" t="str">
        <f>INDEX(Employees!$C$2:$C$17,MATCH(B433,Employees!$A$2:$A$17,0))</f>
        <v>Cycle Counter</v>
      </c>
      <c r="J433" s="25">
        <f t="shared" si="12"/>
        <v>23.414634146341466</v>
      </c>
      <c r="K433" s="19">
        <f>IF(J433=0,0,J433/INDEX('Labor Dashboard'!$C$36:$C$39,MATCH(E433,'Labor Dashboard'!$B$36:$B$39,0)))</f>
        <v>0.9365853658536587</v>
      </c>
      <c r="L433" s="18">
        <f t="shared" si="13"/>
        <v>6</v>
      </c>
      <c r="M433" s="20">
        <f>G433*INDEX(Employees!$E$2:$E$17,MATCH(B433,Employees!$A$2:$A$17,0))</f>
        <v>147.6</v>
      </c>
    </row>
    <row r="434" spans="1:13" ht="18" x14ac:dyDescent="0.2">
      <c r="A434" s="17">
        <v>1320</v>
      </c>
      <c r="B434" s="17">
        <v>31</v>
      </c>
      <c r="C434" s="17" t="s">
        <v>389</v>
      </c>
      <c r="D434" s="17" t="s">
        <v>793</v>
      </c>
      <c r="E434" s="17" t="s">
        <v>795</v>
      </c>
      <c r="F434" s="17">
        <v>217</v>
      </c>
      <c r="G434" s="17">
        <v>6.9</v>
      </c>
      <c r="H434" s="17" t="str">
        <f>INDEX(Employees!$B$2:$B$17,MATCH(B434,Employees!$A$2:$A$17,0))</f>
        <v>Finley</v>
      </c>
      <c r="I434" s="17" t="str">
        <f>INDEX(Employees!$C$2:$C$17,MATCH(B434,Employees!$A$2:$A$17,0))</f>
        <v>Shift Supervisor</v>
      </c>
      <c r="J434" s="25">
        <f t="shared" si="12"/>
        <v>31.44927536231884</v>
      </c>
      <c r="K434" s="19">
        <f>IF(J434=0,0,J434/INDEX('Labor Dashboard'!$C$36:$C$39,MATCH(E434,'Labor Dashboard'!$B$36:$B$39,0)))</f>
        <v>1.0483091787439613</v>
      </c>
      <c r="L434" s="18">
        <f t="shared" si="13"/>
        <v>6</v>
      </c>
      <c r="M434" s="20">
        <f>G434*INDEX(Employees!$E$2:$E$17,MATCH(B434,Employees!$A$2:$A$17,0))</f>
        <v>165.60000000000002</v>
      </c>
    </row>
    <row r="435" spans="1:13" ht="18" x14ac:dyDescent="0.2">
      <c r="A435" s="17">
        <v>1321</v>
      </c>
      <c r="B435" s="17">
        <v>32</v>
      </c>
      <c r="C435" s="17" t="s">
        <v>389</v>
      </c>
      <c r="D435" s="17" t="s">
        <v>793</v>
      </c>
      <c r="E435" s="17" t="s">
        <v>794</v>
      </c>
      <c r="F435" s="17">
        <v>307</v>
      </c>
      <c r="G435" s="17">
        <v>7.5</v>
      </c>
      <c r="H435" s="17" t="str">
        <f>INDEX(Employees!$B$2:$B$17,MATCH(B435,Employees!$A$2:$A$17,0))</f>
        <v>Sawyer</v>
      </c>
      <c r="I435" s="17" t="str">
        <f>INDEX(Employees!$C$2:$C$17,MATCH(B435,Employees!$A$2:$A$17,0))</f>
        <v>Shift Supervisor</v>
      </c>
      <c r="J435" s="25">
        <f t="shared" si="12"/>
        <v>40.93333333333333</v>
      </c>
      <c r="K435" s="19">
        <f>IF(J435=0,0,J435/INDEX('Labor Dashboard'!$C$36:$C$39,MATCH(E435,'Labor Dashboard'!$B$36:$B$39,0)))</f>
        <v>0.90962962962962957</v>
      </c>
      <c r="L435" s="18">
        <f t="shared" si="13"/>
        <v>6</v>
      </c>
      <c r="M435" s="20">
        <f>G435*INDEX(Employees!$E$2:$E$17,MATCH(B435,Employees!$A$2:$A$17,0))</f>
        <v>180</v>
      </c>
    </row>
    <row r="436" spans="1:13" ht="18" x14ac:dyDescent="0.2">
      <c r="A436" s="17">
        <v>1322</v>
      </c>
      <c r="B436" s="17">
        <v>17</v>
      </c>
      <c r="C436" s="17" t="s">
        <v>410</v>
      </c>
      <c r="D436" s="17" t="s">
        <v>793</v>
      </c>
      <c r="E436" s="17" t="s">
        <v>792</v>
      </c>
      <c r="F436" s="17">
        <v>401</v>
      </c>
      <c r="G436" s="17">
        <v>8.1999999999999993</v>
      </c>
      <c r="H436" s="17" t="str">
        <f>INDEX(Employees!$B$2:$B$17,MATCH(B436,Employees!$A$2:$A$17,0))</f>
        <v>Jordan</v>
      </c>
      <c r="I436" s="17" t="str">
        <f>INDEX(Employees!$C$2:$C$17,MATCH(B436,Employees!$A$2:$A$17,0))</f>
        <v>Picker</v>
      </c>
      <c r="J436" s="25">
        <f t="shared" si="12"/>
        <v>48.902439024390247</v>
      </c>
      <c r="K436" s="19">
        <f>IF(J436=0,0,J436/INDEX('Labor Dashboard'!$C$36:$C$39,MATCH(E436,'Labor Dashboard'!$B$36:$B$39,0)))</f>
        <v>0.88913525498891355</v>
      </c>
      <c r="L436" s="18">
        <f t="shared" si="13"/>
        <v>6</v>
      </c>
      <c r="M436" s="20">
        <f>G436*INDEX(Employees!$E$2:$E$17,MATCH(B436,Employees!$A$2:$A$17,0))</f>
        <v>139.39999999999998</v>
      </c>
    </row>
    <row r="437" spans="1:13" ht="18" x14ac:dyDescent="0.2">
      <c r="A437" s="17">
        <v>1323</v>
      </c>
      <c r="B437" s="17">
        <v>18</v>
      </c>
      <c r="C437" s="17" t="s">
        <v>410</v>
      </c>
      <c r="D437" s="17" t="s">
        <v>793</v>
      </c>
      <c r="E437" s="17" t="s">
        <v>792</v>
      </c>
      <c r="F437" s="17">
        <v>471</v>
      </c>
      <c r="G437" s="17">
        <v>7.9</v>
      </c>
      <c r="H437" s="17" t="str">
        <f>INDEX(Employees!$B$2:$B$17,MATCH(B437,Employees!$A$2:$A$17,0))</f>
        <v>Casey</v>
      </c>
      <c r="I437" s="17" t="str">
        <f>INDEX(Employees!$C$2:$C$17,MATCH(B437,Employees!$A$2:$A$17,0))</f>
        <v>Picker</v>
      </c>
      <c r="J437" s="25">
        <f t="shared" si="12"/>
        <v>59.620253164556956</v>
      </c>
      <c r="K437" s="19">
        <f>IF(J437=0,0,J437/INDEX('Labor Dashboard'!$C$36:$C$39,MATCH(E437,'Labor Dashboard'!$B$36:$B$39,0)))</f>
        <v>1.0840046029919446</v>
      </c>
      <c r="L437" s="18">
        <f t="shared" si="13"/>
        <v>6</v>
      </c>
      <c r="M437" s="20">
        <f>G437*INDEX(Employees!$E$2:$E$17,MATCH(B437,Employees!$A$2:$A$17,0))</f>
        <v>134.30000000000001</v>
      </c>
    </row>
    <row r="438" spans="1:13" ht="18" x14ac:dyDescent="0.2">
      <c r="A438" s="17">
        <v>1324</v>
      </c>
      <c r="B438" s="17">
        <v>20</v>
      </c>
      <c r="C438" s="17" t="s">
        <v>410</v>
      </c>
      <c r="D438" s="17" t="s">
        <v>793</v>
      </c>
      <c r="E438" s="17" t="s">
        <v>792</v>
      </c>
      <c r="F438" s="17">
        <v>438</v>
      </c>
      <c r="G438" s="17">
        <v>8.4</v>
      </c>
      <c r="H438" s="17" t="str">
        <f>INDEX(Employees!$B$2:$B$17,MATCH(B438,Employees!$A$2:$A$17,0))</f>
        <v>Taylor</v>
      </c>
      <c r="I438" s="17" t="str">
        <f>INDEX(Employees!$C$2:$C$17,MATCH(B438,Employees!$A$2:$A$17,0))</f>
        <v>Picker</v>
      </c>
      <c r="J438" s="25">
        <f t="shared" si="12"/>
        <v>52.142857142857139</v>
      </c>
      <c r="K438" s="19">
        <f>IF(J438=0,0,J438/INDEX('Labor Dashboard'!$C$36:$C$39,MATCH(E438,'Labor Dashboard'!$B$36:$B$39,0)))</f>
        <v>0.94805194805194792</v>
      </c>
      <c r="L438" s="18">
        <f t="shared" si="13"/>
        <v>6</v>
      </c>
      <c r="M438" s="20">
        <f>G438*INDEX(Employees!$E$2:$E$17,MATCH(B438,Employees!$A$2:$A$17,0))</f>
        <v>142.80000000000001</v>
      </c>
    </row>
    <row r="439" spans="1:13" ht="18" x14ac:dyDescent="0.2">
      <c r="A439" s="17">
        <v>1325</v>
      </c>
      <c r="B439" s="17">
        <v>21</v>
      </c>
      <c r="C439" s="17" t="s">
        <v>410</v>
      </c>
      <c r="D439" s="17" t="s">
        <v>793</v>
      </c>
      <c r="E439" s="17" t="s">
        <v>794</v>
      </c>
      <c r="F439" s="17">
        <v>264</v>
      </c>
      <c r="G439" s="17">
        <v>7</v>
      </c>
      <c r="H439" s="17" t="str">
        <f>INDEX(Employees!$B$2:$B$17,MATCH(B439,Employees!$A$2:$A$17,0))</f>
        <v>Riley</v>
      </c>
      <c r="I439" s="17" t="str">
        <f>INDEX(Employees!$C$2:$C$17,MATCH(B439,Employees!$A$2:$A$17,0))</f>
        <v>Packer</v>
      </c>
      <c r="J439" s="25">
        <f t="shared" si="12"/>
        <v>37.714285714285715</v>
      </c>
      <c r="K439" s="19">
        <f>IF(J439=0,0,J439/INDEX('Labor Dashboard'!$C$36:$C$39,MATCH(E439,'Labor Dashboard'!$B$36:$B$39,0)))</f>
        <v>0.83809523809523812</v>
      </c>
      <c r="L439" s="18">
        <f t="shared" si="13"/>
        <v>6</v>
      </c>
      <c r="M439" s="20">
        <f>G439*INDEX(Employees!$E$2:$E$17,MATCH(B439,Employees!$A$2:$A$17,0))</f>
        <v>119</v>
      </c>
    </row>
    <row r="440" spans="1:13" ht="18" x14ac:dyDescent="0.2">
      <c r="A440" s="17">
        <v>1326</v>
      </c>
      <c r="B440" s="17">
        <v>22</v>
      </c>
      <c r="C440" s="17" t="s">
        <v>410</v>
      </c>
      <c r="D440" s="17" t="s">
        <v>791</v>
      </c>
      <c r="E440" s="17" t="s">
        <v>794</v>
      </c>
      <c r="F440" s="17">
        <v>366</v>
      </c>
      <c r="G440" s="17">
        <v>7.5</v>
      </c>
      <c r="H440" s="17" t="str">
        <f>INDEX(Employees!$B$2:$B$17,MATCH(B440,Employees!$A$2:$A$17,0))</f>
        <v>Avery</v>
      </c>
      <c r="I440" s="17" t="str">
        <f>INDEX(Employees!$C$2:$C$17,MATCH(B440,Employees!$A$2:$A$17,0))</f>
        <v>Packer</v>
      </c>
      <c r="J440" s="25">
        <f t="shared" si="12"/>
        <v>48.8</v>
      </c>
      <c r="K440" s="19">
        <f>IF(J440=0,0,J440/INDEX('Labor Dashboard'!$C$36:$C$39,MATCH(E440,'Labor Dashboard'!$B$36:$B$39,0)))</f>
        <v>1.0844444444444443</v>
      </c>
      <c r="L440" s="18">
        <f t="shared" si="13"/>
        <v>6</v>
      </c>
      <c r="M440" s="20">
        <f>G440*INDEX(Employees!$E$2:$E$17,MATCH(B440,Employees!$A$2:$A$17,0))</f>
        <v>127.5</v>
      </c>
    </row>
    <row r="441" spans="1:13" ht="18" x14ac:dyDescent="0.2">
      <c r="A441" s="17">
        <v>1327</v>
      </c>
      <c r="B441" s="17">
        <v>23</v>
      </c>
      <c r="C441" s="17" t="s">
        <v>410</v>
      </c>
      <c r="D441" s="17" t="s">
        <v>793</v>
      </c>
      <c r="E441" s="17" t="s">
        <v>794</v>
      </c>
      <c r="F441" s="17">
        <v>354</v>
      </c>
      <c r="G441" s="17">
        <v>6.7</v>
      </c>
      <c r="H441" s="17" t="str">
        <f>INDEX(Employees!$B$2:$B$17,MATCH(B441,Employees!$A$2:$A$17,0))</f>
        <v>Cameron</v>
      </c>
      <c r="I441" s="17" t="str">
        <f>INDEX(Employees!$C$2:$C$17,MATCH(B441,Employees!$A$2:$A$17,0))</f>
        <v>Packer</v>
      </c>
      <c r="J441" s="25">
        <f t="shared" si="12"/>
        <v>52.835820895522389</v>
      </c>
      <c r="K441" s="19">
        <f>IF(J441=0,0,J441/INDEX('Labor Dashboard'!$C$36:$C$39,MATCH(E441,'Labor Dashboard'!$B$36:$B$39,0)))</f>
        <v>1.1741293532338308</v>
      </c>
      <c r="L441" s="18">
        <f t="shared" si="13"/>
        <v>6</v>
      </c>
      <c r="M441" s="20">
        <f>G441*INDEX(Employees!$E$2:$E$17,MATCH(B441,Employees!$A$2:$A$17,0))</f>
        <v>113.9</v>
      </c>
    </row>
    <row r="442" spans="1:13" ht="18" x14ac:dyDescent="0.2">
      <c r="A442" s="17">
        <v>1328</v>
      </c>
      <c r="B442" s="17">
        <v>24</v>
      </c>
      <c r="C442" s="17" t="s">
        <v>410</v>
      </c>
      <c r="D442" s="17" t="s">
        <v>791</v>
      </c>
      <c r="E442" s="17" t="s">
        <v>795</v>
      </c>
      <c r="F442" s="17">
        <v>197</v>
      </c>
      <c r="G442" s="17">
        <v>6.5</v>
      </c>
      <c r="H442" s="17" t="str">
        <f>INDEX(Employees!$B$2:$B$17,MATCH(B442,Employees!$A$2:$A$17,0))</f>
        <v>Dakota</v>
      </c>
      <c r="I442" s="17" t="str">
        <f>INDEX(Employees!$C$2:$C$17,MATCH(B442,Employees!$A$2:$A$17,0))</f>
        <v>Forklift Operator</v>
      </c>
      <c r="J442" s="25">
        <f t="shared" si="12"/>
        <v>30.307692307692307</v>
      </c>
      <c r="K442" s="19">
        <f>IF(J442=0,0,J442/INDEX('Labor Dashboard'!$C$36:$C$39,MATCH(E442,'Labor Dashboard'!$B$36:$B$39,0)))</f>
        <v>1.0102564102564102</v>
      </c>
      <c r="L442" s="18">
        <f t="shared" si="13"/>
        <v>6</v>
      </c>
      <c r="M442" s="20">
        <f>G442*INDEX(Employees!$E$2:$E$17,MATCH(B442,Employees!$A$2:$A$17,0))</f>
        <v>126.75</v>
      </c>
    </row>
    <row r="443" spans="1:13" ht="18" x14ac:dyDescent="0.2">
      <c r="A443" s="17">
        <v>1329</v>
      </c>
      <c r="B443" s="17">
        <v>25</v>
      </c>
      <c r="C443" s="17" t="s">
        <v>410</v>
      </c>
      <c r="D443" s="17" t="s">
        <v>793</v>
      </c>
      <c r="E443" s="17" t="s">
        <v>792</v>
      </c>
      <c r="F443" s="17">
        <v>391</v>
      </c>
      <c r="G443" s="17">
        <v>6.6</v>
      </c>
      <c r="H443" s="17" t="str">
        <f>INDEX(Employees!$B$2:$B$17,MATCH(B443,Employees!$A$2:$A$17,0))</f>
        <v>Hayden</v>
      </c>
      <c r="I443" s="17" t="str">
        <f>INDEX(Employees!$C$2:$C$17,MATCH(B443,Employees!$A$2:$A$17,0))</f>
        <v>Forklift Operator</v>
      </c>
      <c r="J443" s="25">
        <f t="shared" si="12"/>
        <v>59.242424242424242</v>
      </c>
      <c r="K443" s="19">
        <f>IF(J443=0,0,J443/INDEX('Labor Dashboard'!$C$36:$C$39,MATCH(E443,'Labor Dashboard'!$B$36:$B$39,0)))</f>
        <v>1.0771349862258952</v>
      </c>
      <c r="L443" s="18">
        <f t="shared" si="13"/>
        <v>6</v>
      </c>
      <c r="M443" s="20">
        <f>G443*INDEX(Employees!$E$2:$E$17,MATCH(B443,Employees!$A$2:$A$17,0))</f>
        <v>128.69999999999999</v>
      </c>
    </row>
    <row r="444" spans="1:13" ht="18" x14ac:dyDescent="0.2">
      <c r="A444" s="17">
        <v>1330</v>
      </c>
      <c r="B444" s="17">
        <v>27</v>
      </c>
      <c r="C444" s="17" t="s">
        <v>410</v>
      </c>
      <c r="D444" s="17" t="s">
        <v>793</v>
      </c>
      <c r="E444" s="17" t="s">
        <v>795</v>
      </c>
      <c r="F444" s="17">
        <v>196</v>
      </c>
      <c r="G444" s="17">
        <v>7.3</v>
      </c>
      <c r="H444" s="17" t="str">
        <f>INDEX(Employees!$B$2:$B$17,MATCH(B444,Employees!$A$2:$A$17,0))</f>
        <v>Skyler</v>
      </c>
      <c r="I444" s="17" t="str">
        <f>INDEX(Employees!$C$2:$C$17,MATCH(B444,Employees!$A$2:$A$17,0))</f>
        <v>Receiving Clerk</v>
      </c>
      <c r="J444" s="25">
        <f t="shared" si="12"/>
        <v>26.849315068493151</v>
      </c>
      <c r="K444" s="19">
        <f>IF(J444=0,0,J444/INDEX('Labor Dashboard'!$C$36:$C$39,MATCH(E444,'Labor Dashboard'!$B$36:$B$39,0)))</f>
        <v>0.89497716894977175</v>
      </c>
      <c r="L444" s="18">
        <f t="shared" si="13"/>
        <v>6</v>
      </c>
      <c r="M444" s="20">
        <f>G444*INDEX(Employees!$E$2:$E$17,MATCH(B444,Employees!$A$2:$A$17,0))</f>
        <v>131.4</v>
      </c>
    </row>
    <row r="445" spans="1:13" ht="18" x14ac:dyDescent="0.2">
      <c r="A445" s="17">
        <v>1331</v>
      </c>
      <c r="B445" s="17">
        <v>28</v>
      </c>
      <c r="C445" s="17" t="s">
        <v>410</v>
      </c>
      <c r="D445" s="17" t="s">
        <v>793</v>
      </c>
      <c r="E445" s="17" t="s">
        <v>796</v>
      </c>
      <c r="F445" s="17">
        <v>174</v>
      </c>
      <c r="G445" s="17">
        <v>7.3</v>
      </c>
      <c r="H445" s="17" t="str">
        <f>INDEX(Employees!$B$2:$B$17,MATCH(B445,Employees!$A$2:$A$17,0))</f>
        <v>Peyton</v>
      </c>
      <c r="I445" s="17" t="str">
        <f>INDEX(Employees!$C$2:$C$17,MATCH(B445,Employees!$A$2:$A$17,0))</f>
        <v>Cycle Counter</v>
      </c>
      <c r="J445" s="25">
        <f t="shared" si="12"/>
        <v>23.835616438356166</v>
      </c>
      <c r="K445" s="19">
        <f>IF(J445=0,0,J445/INDEX('Labor Dashboard'!$C$36:$C$39,MATCH(E445,'Labor Dashboard'!$B$36:$B$39,0)))</f>
        <v>0.95342465753424666</v>
      </c>
      <c r="L445" s="18">
        <f t="shared" si="13"/>
        <v>6</v>
      </c>
      <c r="M445" s="20">
        <f>G445*INDEX(Employees!$E$2:$E$17,MATCH(B445,Employees!$A$2:$A$17,0))</f>
        <v>131.4</v>
      </c>
    </row>
    <row r="446" spans="1:13" ht="18" x14ac:dyDescent="0.2">
      <c r="A446" s="17">
        <v>1332</v>
      </c>
      <c r="B446" s="17">
        <v>32</v>
      </c>
      <c r="C446" s="17" t="s">
        <v>410</v>
      </c>
      <c r="D446" s="17" t="s">
        <v>791</v>
      </c>
      <c r="E446" s="17" t="s">
        <v>796</v>
      </c>
      <c r="F446" s="17">
        <v>175</v>
      </c>
      <c r="G446" s="17">
        <v>7.5</v>
      </c>
      <c r="H446" s="17" t="str">
        <f>INDEX(Employees!$B$2:$B$17,MATCH(B446,Employees!$A$2:$A$17,0))</f>
        <v>Sawyer</v>
      </c>
      <c r="I446" s="17" t="str">
        <f>INDEX(Employees!$C$2:$C$17,MATCH(B446,Employees!$A$2:$A$17,0))</f>
        <v>Shift Supervisor</v>
      </c>
      <c r="J446" s="25">
        <f t="shared" si="12"/>
        <v>23.333333333333332</v>
      </c>
      <c r="K446" s="19">
        <f>IF(J446=0,0,J446/INDEX('Labor Dashboard'!$C$36:$C$39,MATCH(E446,'Labor Dashboard'!$B$36:$B$39,0)))</f>
        <v>0.93333333333333324</v>
      </c>
      <c r="L446" s="18">
        <f t="shared" si="13"/>
        <v>6</v>
      </c>
      <c r="M446" s="20">
        <f>G446*INDEX(Employees!$E$2:$E$17,MATCH(B446,Employees!$A$2:$A$17,0))</f>
        <v>180</v>
      </c>
    </row>
    <row r="447" spans="1:13" ht="18" x14ac:dyDescent="0.2">
      <c r="A447" s="17">
        <v>1333</v>
      </c>
      <c r="B447" s="17">
        <v>17</v>
      </c>
      <c r="C447" s="17" t="s">
        <v>419</v>
      </c>
      <c r="D447" s="17" t="s">
        <v>793</v>
      </c>
      <c r="E447" s="17" t="s">
        <v>792</v>
      </c>
      <c r="F447" s="17">
        <v>361</v>
      </c>
      <c r="G447" s="17">
        <v>7.8</v>
      </c>
      <c r="H447" s="17" t="str">
        <f>INDEX(Employees!$B$2:$B$17,MATCH(B447,Employees!$A$2:$A$17,0))</f>
        <v>Jordan</v>
      </c>
      <c r="I447" s="17" t="str">
        <f>INDEX(Employees!$C$2:$C$17,MATCH(B447,Employees!$A$2:$A$17,0))</f>
        <v>Picker</v>
      </c>
      <c r="J447" s="25">
        <f t="shared" si="12"/>
        <v>46.282051282051285</v>
      </c>
      <c r="K447" s="19">
        <f>IF(J447=0,0,J447/INDEX('Labor Dashboard'!$C$36:$C$39,MATCH(E447,'Labor Dashboard'!$B$36:$B$39,0)))</f>
        <v>0.84149184149184153</v>
      </c>
      <c r="L447" s="18">
        <f t="shared" si="13"/>
        <v>6</v>
      </c>
      <c r="M447" s="20">
        <f>G447*INDEX(Employees!$E$2:$E$17,MATCH(B447,Employees!$A$2:$A$17,0))</f>
        <v>132.6</v>
      </c>
    </row>
    <row r="448" spans="1:13" ht="18" x14ac:dyDescent="0.2">
      <c r="A448" s="17">
        <v>1334</v>
      </c>
      <c r="B448" s="17">
        <v>18</v>
      </c>
      <c r="C448" s="17" t="s">
        <v>419</v>
      </c>
      <c r="D448" s="17" t="s">
        <v>793</v>
      </c>
      <c r="E448" s="17" t="s">
        <v>792</v>
      </c>
      <c r="F448" s="17">
        <v>513</v>
      </c>
      <c r="G448" s="17">
        <v>8.4</v>
      </c>
      <c r="H448" s="17" t="str">
        <f>INDEX(Employees!$B$2:$B$17,MATCH(B448,Employees!$A$2:$A$17,0))</f>
        <v>Casey</v>
      </c>
      <c r="I448" s="17" t="str">
        <f>INDEX(Employees!$C$2:$C$17,MATCH(B448,Employees!$A$2:$A$17,0))</f>
        <v>Picker</v>
      </c>
      <c r="J448" s="25">
        <f t="shared" si="12"/>
        <v>61.071428571428569</v>
      </c>
      <c r="K448" s="19">
        <f>IF(J448=0,0,J448/INDEX('Labor Dashboard'!$C$36:$C$39,MATCH(E448,'Labor Dashboard'!$B$36:$B$39,0)))</f>
        <v>1.1103896103896103</v>
      </c>
      <c r="L448" s="18">
        <f t="shared" si="13"/>
        <v>6</v>
      </c>
      <c r="M448" s="20">
        <f>G448*INDEX(Employees!$E$2:$E$17,MATCH(B448,Employees!$A$2:$A$17,0))</f>
        <v>142.80000000000001</v>
      </c>
    </row>
    <row r="449" spans="1:13" ht="18" x14ac:dyDescent="0.2">
      <c r="A449" s="17">
        <v>1335</v>
      </c>
      <c r="B449" s="17">
        <v>19</v>
      </c>
      <c r="C449" s="17" t="s">
        <v>419</v>
      </c>
      <c r="D449" s="17" t="s">
        <v>793</v>
      </c>
      <c r="E449" s="17" t="s">
        <v>792</v>
      </c>
      <c r="F449" s="17">
        <v>365</v>
      </c>
      <c r="G449" s="17">
        <v>7</v>
      </c>
      <c r="H449" s="17" t="str">
        <f>INDEX(Employees!$B$2:$B$17,MATCH(B449,Employees!$A$2:$A$17,0))</f>
        <v>Morgan</v>
      </c>
      <c r="I449" s="17" t="str">
        <f>INDEX(Employees!$C$2:$C$17,MATCH(B449,Employees!$A$2:$A$17,0))</f>
        <v>Picker</v>
      </c>
      <c r="J449" s="25">
        <f t="shared" si="12"/>
        <v>52.142857142857146</v>
      </c>
      <c r="K449" s="19">
        <f>IF(J449=0,0,J449/INDEX('Labor Dashboard'!$C$36:$C$39,MATCH(E449,'Labor Dashboard'!$B$36:$B$39,0)))</f>
        <v>0.94805194805194815</v>
      </c>
      <c r="L449" s="18">
        <f t="shared" si="13"/>
        <v>6</v>
      </c>
      <c r="M449" s="20">
        <f>G449*INDEX(Employees!$E$2:$E$17,MATCH(B449,Employees!$A$2:$A$17,0))</f>
        <v>119</v>
      </c>
    </row>
    <row r="450" spans="1:13" ht="18" x14ac:dyDescent="0.2">
      <c r="A450" s="17">
        <v>1336</v>
      </c>
      <c r="B450" s="17">
        <v>20</v>
      </c>
      <c r="C450" s="17" t="s">
        <v>419</v>
      </c>
      <c r="D450" s="17" t="s">
        <v>793</v>
      </c>
      <c r="E450" s="17" t="s">
        <v>792</v>
      </c>
      <c r="F450" s="17">
        <v>353</v>
      </c>
      <c r="G450" s="17">
        <v>7.1</v>
      </c>
      <c r="H450" s="17" t="str">
        <f>INDEX(Employees!$B$2:$B$17,MATCH(B450,Employees!$A$2:$A$17,0))</f>
        <v>Taylor</v>
      </c>
      <c r="I450" s="17" t="str">
        <f>INDEX(Employees!$C$2:$C$17,MATCH(B450,Employees!$A$2:$A$17,0))</f>
        <v>Picker</v>
      </c>
      <c r="J450" s="25">
        <f t="shared" ref="J450:J513" si="14">IF(G450=0,0,F450/G450)</f>
        <v>49.718309859154935</v>
      </c>
      <c r="K450" s="19">
        <f>IF(J450=0,0,J450/INDEX('Labor Dashboard'!$C$36:$C$39,MATCH(E450,'Labor Dashboard'!$B$36:$B$39,0)))</f>
        <v>0.90396927016645334</v>
      </c>
      <c r="L450" s="18">
        <f t="shared" ref="L450:L513" si="15">INT((DATEVALUE(C450)-DATE(2026,4,6))/7)</f>
        <v>6</v>
      </c>
      <c r="M450" s="20">
        <f>G450*INDEX(Employees!$E$2:$E$17,MATCH(B450,Employees!$A$2:$A$17,0))</f>
        <v>120.69999999999999</v>
      </c>
    </row>
    <row r="451" spans="1:13" ht="18" x14ac:dyDescent="0.2">
      <c r="A451" s="17">
        <v>1337</v>
      </c>
      <c r="B451" s="17">
        <v>21</v>
      </c>
      <c r="C451" s="17" t="s">
        <v>419</v>
      </c>
      <c r="D451" s="17" t="s">
        <v>793</v>
      </c>
      <c r="E451" s="17" t="s">
        <v>794</v>
      </c>
      <c r="F451" s="17">
        <v>300</v>
      </c>
      <c r="G451" s="17">
        <v>8</v>
      </c>
      <c r="H451" s="17" t="str">
        <f>INDEX(Employees!$B$2:$B$17,MATCH(B451,Employees!$A$2:$A$17,0))</f>
        <v>Riley</v>
      </c>
      <c r="I451" s="17" t="str">
        <f>INDEX(Employees!$C$2:$C$17,MATCH(B451,Employees!$A$2:$A$17,0))</f>
        <v>Packer</v>
      </c>
      <c r="J451" s="25">
        <f t="shared" si="14"/>
        <v>37.5</v>
      </c>
      <c r="K451" s="19">
        <f>IF(J451=0,0,J451/INDEX('Labor Dashboard'!$C$36:$C$39,MATCH(E451,'Labor Dashboard'!$B$36:$B$39,0)))</f>
        <v>0.83333333333333337</v>
      </c>
      <c r="L451" s="18">
        <f t="shared" si="15"/>
        <v>6</v>
      </c>
      <c r="M451" s="20">
        <f>G451*INDEX(Employees!$E$2:$E$17,MATCH(B451,Employees!$A$2:$A$17,0))</f>
        <v>136</v>
      </c>
    </row>
    <row r="452" spans="1:13" ht="18" x14ac:dyDescent="0.2">
      <c r="A452" s="17">
        <v>1338</v>
      </c>
      <c r="B452" s="17">
        <v>22</v>
      </c>
      <c r="C452" s="17" t="s">
        <v>419</v>
      </c>
      <c r="D452" s="17" t="s">
        <v>793</v>
      </c>
      <c r="E452" s="17" t="s">
        <v>794</v>
      </c>
      <c r="F452" s="17">
        <v>352</v>
      </c>
      <c r="G452" s="17">
        <v>7</v>
      </c>
      <c r="H452" s="17" t="str">
        <f>INDEX(Employees!$B$2:$B$17,MATCH(B452,Employees!$A$2:$A$17,0))</f>
        <v>Avery</v>
      </c>
      <c r="I452" s="17" t="str">
        <f>INDEX(Employees!$C$2:$C$17,MATCH(B452,Employees!$A$2:$A$17,0))</f>
        <v>Packer</v>
      </c>
      <c r="J452" s="25">
        <f t="shared" si="14"/>
        <v>50.285714285714285</v>
      </c>
      <c r="K452" s="19">
        <f>IF(J452=0,0,J452/INDEX('Labor Dashboard'!$C$36:$C$39,MATCH(E452,'Labor Dashboard'!$B$36:$B$39,0)))</f>
        <v>1.1174603174603175</v>
      </c>
      <c r="L452" s="18">
        <f t="shared" si="15"/>
        <v>6</v>
      </c>
      <c r="M452" s="20">
        <f>G452*INDEX(Employees!$E$2:$E$17,MATCH(B452,Employees!$A$2:$A$17,0))</f>
        <v>119</v>
      </c>
    </row>
    <row r="453" spans="1:13" ht="18" x14ac:dyDescent="0.2">
      <c r="A453" s="17">
        <v>1339</v>
      </c>
      <c r="B453" s="17">
        <v>23</v>
      </c>
      <c r="C453" s="17" t="s">
        <v>419</v>
      </c>
      <c r="D453" s="17" t="s">
        <v>791</v>
      </c>
      <c r="E453" s="17" t="s">
        <v>794</v>
      </c>
      <c r="F453" s="17">
        <v>376</v>
      </c>
      <c r="G453" s="17">
        <v>8.1999999999999993</v>
      </c>
      <c r="H453" s="17" t="str">
        <f>INDEX(Employees!$B$2:$B$17,MATCH(B453,Employees!$A$2:$A$17,0))</f>
        <v>Cameron</v>
      </c>
      <c r="I453" s="17" t="str">
        <f>INDEX(Employees!$C$2:$C$17,MATCH(B453,Employees!$A$2:$A$17,0))</f>
        <v>Packer</v>
      </c>
      <c r="J453" s="25">
        <f t="shared" si="14"/>
        <v>45.853658536585371</v>
      </c>
      <c r="K453" s="19">
        <f>IF(J453=0,0,J453/INDEX('Labor Dashboard'!$C$36:$C$39,MATCH(E453,'Labor Dashboard'!$B$36:$B$39,0)))</f>
        <v>1.0189701897018972</v>
      </c>
      <c r="L453" s="18">
        <f t="shared" si="15"/>
        <v>6</v>
      </c>
      <c r="M453" s="20">
        <f>G453*INDEX(Employees!$E$2:$E$17,MATCH(B453,Employees!$A$2:$A$17,0))</f>
        <v>139.39999999999998</v>
      </c>
    </row>
    <row r="454" spans="1:13" ht="18" x14ac:dyDescent="0.2">
      <c r="A454" s="17">
        <v>1340</v>
      </c>
      <c r="B454" s="17">
        <v>24</v>
      </c>
      <c r="C454" s="17" t="s">
        <v>419</v>
      </c>
      <c r="D454" s="17" t="s">
        <v>793</v>
      </c>
      <c r="E454" s="17" t="s">
        <v>795</v>
      </c>
      <c r="F454" s="17">
        <v>210</v>
      </c>
      <c r="G454" s="17">
        <v>6.6</v>
      </c>
      <c r="H454" s="17" t="str">
        <f>INDEX(Employees!$B$2:$B$17,MATCH(B454,Employees!$A$2:$A$17,0))</f>
        <v>Dakota</v>
      </c>
      <c r="I454" s="17" t="str">
        <f>INDEX(Employees!$C$2:$C$17,MATCH(B454,Employees!$A$2:$A$17,0))</f>
        <v>Forklift Operator</v>
      </c>
      <c r="J454" s="25">
        <f t="shared" si="14"/>
        <v>31.81818181818182</v>
      </c>
      <c r="K454" s="19">
        <f>IF(J454=0,0,J454/INDEX('Labor Dashboard'!$C$36:$C$39,MATCH(E454,'Labor Dashboard'!$B$36:$B$39,0)))</f>
        <v>1.0606060606060608</v>
      </c>
      <c r="L454" s="18">
        <f t="shared" si="15"/>
        <v>6</v>
      </c>
      <c r="M454" s="20">
        <f>G454*INDEX(Employees!$E$2:$E$17,MATCH(B454,Employees!$A$2:$A$17,0))</f>
        <v>128.69999999999999</v>
      </c>
    </row>
    <row r="455" spans="1:13" ht="18" x14ac:dyDescent="0.2">
      <c r="A455" s="17">
        <v>1341</v>
      </c>
      <c r="B455" s="17">
        <v>25</v>
      </c>
      <c r="C455" s="17" t="s">
        <v>419</v>
      </c>
      <c r="D455" s="17" t="s">
        <v>793</v>
      </c>
      <c r="E455" s="17" t="s">
        <v>795</v>
      </c>
      <c r="F455" s="17">
        <v>223</v>
      </c>
      <c r="G455" s="17">
        <v>6.8</v>
      </c>
      <c r="H455" s="17" t="str">
        <f>INDEX(Employees!$B$2:$B$17,MATCH(B455,Employees!$A$2:$A$17,0))</f>
        <v>Hayden</v>
      </c>
      <c r="I455" s="17" t="str">
        <f>INDEX(Employees!$C$2:$C$17,MATCH(B455,Employees!$A$2:$A$17,0))</f>
        <v>Forklift Operator</v>
      </c>
      <c r="J455" s="25">
        <f t="shared" si="14"/>
        <v>32.794117647058826</v>
      </c>
      <c r="K455" s="19">
        <f>IF(J455=0,0,J455/INDEX('Labor Dashboard'!$C$36:$C$39,MATCH(E455,'Labor Dashboard'!$B$36:$B$39,0)))</f>
        <v>1.0931372549019609</v>
      </c>
      <c r="L455" s="18">
        <f t="shared" si="15"/>
        <v>6</v>
      </c>
      <c r="M455" s="20">
        <f>G455*INDEX(Employees!$E$2:$E$17,MATCH(B455,Employees!$A$2:$A$17,0))</f>
        <v>132.6</v>
      </c>
    </row>
    <row r="456" spans="1:13" ht="18" x14ac:dyDescent="0.2">
      <c r="A456" s="17">
        <v>1342</v>
      </c>
      <c r="B456" s="17">
        <v>26</v>
      </c>
      <c r="C456" s="17" t="s">
        <v>419</v>
      </c>
      <c r="D456" s="17" t="s">
        <v>791</v>
      </c>
      <c r="E456" s="17" t="s">
        <v>795</v>
      </c>
      <c r="F456" s="17">
        <v>217</v>
      </c>
      <c r="G456" s="17">
        <v>8</v>
      </c>
      <c r="H456" s="17" t="str">
        <f>INDEX(Employees!$B$2:$B$17,MATCH(B456,Employees!$A$2:$A$17,0))</f>
        <v>Reese</v>
      </c>
      <c r="I456" s="17" t="str">
        <f>INDEX(Employees!$C$2:$C$17,MATCH(B456,Employees!$A$2:$A$17,0))</f>
        <v>Receiving Clerk</v>
      </c>
      <c r="J456" s="25">
        <f t="shared" si="14"/>
        <v>27.125</v>
      </c>
      <c r="K456" s="19">
        <f>IF(J456=0,0,J456/INDEX('Labor Dashboard'!$C$36:$C$39,MATCH(E456,'Labor Dashboard'!$B$36:$B$39,0)))</f>
        <v>0.90416666666666667</v>
      </c>
      <c r="L456" s="18">
        <f t="shared" si="15"/>
        <v>6</v>
      </c>
      <c r="M456" s="20">
        <f>G456*INDEX(Employees!$E$2:$E$17,MATCH(B456,Employees!$A$2:$A$17,0))</f>
        <v>144</v>
      </c>
    </row>
    <row r="457" spans="1:13" ht="18" x14ac:dyDescent="0.2">
      <c r="A457" s="17">
        <v>1343</v>
      </c>
      <c r="B457" s="17">
        <v>27</v>
      </c>
      <c r="C457" s="17" t="s">
        <v>419</v>
      </c>
      <c r="D457" s="17" t="s">
        <v>793</v>
      </c>
      <c r="E457" s="17" t="s">
        <v>795</v>
      </c>
      <c r="F457" s="17">
        <v>178</v>
      </c>
      <c r="G457" s="17">
        <v>6.9</v>
      </c>
      <c r="H457" s="17" t="str">
        <f>INDEX(Employees!$B$2:$B$17,MATCH(B457,Employees!$A$2:$A$17,0))</f>
        <v>Skyler</v>
      </c>
      <c r="I457" s="17" t="str">
        <f>INDEX(Employees!$C$2:$C$17,MATCH(B457,Employees!$A$2:$A$17,0))</f>
        <v>Receiving Clerk</v>
      </c>
      <c r="J457" s="25">
        <f t="shared" si="14"/>
        <v>25.79710144927536</v>
      </c>
      <c r="K457" s="19">
        <f>IF(J457=0,0,J457/INDEX('Labor Dashboard'!$C$36:$C$39,MATCH(E457,'Labor Dashboard'!$B$36:$B$39,0)))</f>
        <v>0.85990338164251201</v>
      </c>
      <c r="L457" s="18">
        <f t="shared" si="15"/>
        <v>6</v>
      </c>
      <c r="M457" s="20">
        <f>G457*INDEX(Employees!$E$2:$E$17,MATCH(B457,Employees!$A$2:$A$17,0))</f>
        <v>124.2</v>
      </c>
    </row>
    <row r="458" spans="1:13" ht="18" x14ac:dyDescent="0.2">
      <c r="A458" s="17">
        <v>1344</v>
      </c>
      <c r="B458" s="17">
        <v>28</v>
      </c>
      <c r="C458" s="17" t="s">
        <v>419</v>
      </c>
      <c r="D458" s="17" t="s">
        <v>791</v>
      </c>
      <c r="E458" s="17" t="s">
        <v>796</v>
      </c>
      <c r="F458" s="17">
        <v>180</v>
      </c>
      <c r="G458" s="17">
        <v>7.6</v>
      </c>
      <c r="H458" s="17" t="str">
        <f>INDEX(Employees!$B$2:$B$17,MATCH(B458,Employees!$A$2:$A$17,0))</f>
        <v>Peyton</v>
      </c>
      <c r="I458" s="17" t="str">
        <f>INDEX(Employees!$C$2:$C$17,MATCH(B458,Employees!$A$2:$A$17,0))</f>
        <v>Cycle Counter</v>
      </c>
      <c r="J458" s="25">
        <f t="shared" si="14"/>
        <v>23.684210526315791</v>
      </c>
      <c r="K458" s="19">
        <f>IF(J458=0,0,J458/INDEX('Labor Dashboard'!$C$36:$C$39,MATCH(E458,'Labor Dashboard'!$B$36:$B$39,0)))</f>
        <v>0.94736842105263164</v>
      </c>
      <c r="L458" s="18">
        <f t="shared" si="15"/>
        <v>6</v>
      </c>
      <c r="M458" s="20">
        <f>G458*INDEX(Employees!$E$2:$E$17,MATCH(B458,Employees!$A$2:$A$17,0))</f>
        <v>136.79999999999998</v>
      </c>
    </row>
    <row r="459" spans="1:13" ht="18" x14ac:dyDescent="0.2">
      <c r="A459" s="17">
        <v>1345</v>
      </c>
      <c r="B459" s="17">
        <v>29</v>
      </c>
      <c r="C459" s="17" t="s">
        <v>419</v>
      </c>
      <c r="D459" s="17" t="s">
        <v>791</v>
      </c>
      <c r="E459" s="17" t="s">
        <v>796</v>
      </c>
      <c r="F459" s="17">
        <v>196</v>
      </c>
      <c r="G459" s="17">
        <v>7.3</v>
      </c>
      <c r="H459" s="17" t="str">
        <f>INDEX(Employees!$B$2:$B$17,MATCH(B459,Employees!$A$2:$A$17,0))</f>
        <v>Rowan</v>
      </c>
      <c r="I459" s="17" t="str">
        <f>INDEX(Employees!$C$2:$C$17,MATCH(B459,Employees!$A$2:$A$17,0))</f>
        <v>Cycle Counter</v>
      </c>
      <c r="J459" s="25">
        <f t="shared" si="14"/>
        <v>26.849315068493151</v>
      </c>
      <c r="K459" s="19">
        <f>IF(J459=0,0,J459/INDEX('Labor Dashboard'!$C$36:$C$39,MATCH(E459,'Labor Dashboard'!$B$36:$B$39,0)))</f>
        <v>1.0739726027397261</v>
      </c>
      <c r="L459" s="18">
        <f t="shared" si="15"/>
        <v>6</v>
      </c>
      <c r="M459" s="20">
        <f>G459*INDEX(Employees!$E$2:$E$17,MATCH(B459,Employees!$A$2:$A$17,0))</f>
        <v>131.4</v>
      </c>
    </row>
    <row r="460" spans="1:13" ht="18" x14ac:dyDescent="0.2">
      <c r="A460" s="17">
        <v>1346</v>
      </c>
      <c r="B460" s="17">
        <v>31</v>
      </c>
      <c r="C460" s="17" t="s">
        <v>419</v>
      </c>
      <c r="D460" s="17" t="s">
        <v>793</v>
      </c>
      <c r="E460" s="17" t="s">
        <v>794</v>
      </c>
      <c r="F460" s="17">
        <v>355</v>
      </c>
      <c r="G460" s="17">
        <v>7.4</v>
      </c>
      <c r="H460" s="17" t="str">
        <f>INDEX(Employees!$B$2:$B$17,MATCH(B460,Employees!$A$2:$A$17,0))</f>
        <v>Finley</v>
      </c>
      <c r="I460" s="17" t="str">
        <f>INDEX(Employees!$C$2:$C$17,MATCH(B460,Employees!$A$2:$A$17,0))</f>
        <v>Shift Supervisor</v>
      </c>
      <c r="J460" s="25">
        <f t="shared" si="14"/>
        <v>47.972972972972968</v>
      </c>
      <c r="K460" s="19">
        <f>IF(J460=0,0,J460/INDEX('Labor Dashboard'!$C$36:$C$39,MATCH(E460,'Labor Dashboard'!$B$36:$B$39,0)))</f>
        <v>1.0660660660660659</v>
      </c>
      <c r="L460" s="18">
        <f t="shared" si="15"/>
        <v>6</v>
      </c>
      <c r="M460" s="20">
        <f>G460*INDEX(Employees!$E$2:$E$17,MATCH(B460,Employees!$A$2:$A$17,0))</f>
        <v>177.60000000000002</v>
      </c>
    </row>
    <row r="461" spans="1:13" ht="18" x14ac:dyDescent="0.2">
      <c r="A461" s="17">
        <v>1347</v>
      </c>
      <c r="B461" s="17">
        <v>32</v>
      </c>
      <c r="C461" s="17" t="s">
        <v>419</v>
      </c>
      <c r="D461" s="17" t="s">
        <v>793</v>
      </c>
      <c r="E461" s="17" t="s">
        <v>795</v>
      </c>
      <c r="F461" s="17">
        <v>190</v>
      </c>
      <c r="G461" s="17">
        <v>7</v>
      </c>
      <c r="H461" s="17" t="str">
        <f>INDEX(Employees!$B$2:$B$17,MATCH(B461,Employees!$A$2:$A$17,0))</f>
        <v>Sawyer</v>
      </c>
      <c r="I461" s="17" t="str">
        <f>INDEX(Employees!$C$2:$C$17,MATCH(B461,Employees!$A$2:$A$17,0))</f>
        <v>Shift Supervisor</v>
      </c>
      <c r="J461" s="25">
        <f t="shared" si="14"/>
        <v>27.142857142857142</v>
      </c>
      <c r="K461" s="19">
        <f>IF(J461=0,0,J461/INDEX('Labor Dashboard'!$C$36:$C$39,MATCH(E461,'Labor Dashboard'!$B$36:$B$39,0)))</f>
        <v>0.90476190476190477</v>
      </c>
      <c r="L461" s="18">
        <f t="shared" si="15"/>
        <v>6</v>
      </c>
      <c r="M461" s="20">
        <f>G461*INDEX(Employees!$E$2:$E$17,MATCH(B461,Employees!$A$2:$A$17,0))</f>
        <v>168</v>
      </c>
    </row>
    <row r="462" spans="1:13" ht="18" x14ac:dyDescent="0.2">
      <c r="A462" s="17">
        <v>1348</v>
      </c>
      <c r="B462" s="17">
        <v>17</v>
      </c>
      <c r="C462" s="17" t="s">
        <v>407</v>
      </c>
      <c r="D462" s="17" t="s">
        <v>791</v>
      </c>
      <c r="E462" s="17" t="s">
        <v>792</v>
      </c>
      <c r="F462" s="17">
        <v>349</v>
      </c>
      <c r="G462" s="17">
        <v>7.6</v>
      </c>
      <c r="H462" s="17" t="str">
        <f>INDEX(Employees!$B$2:$B$17,MATCH(B462,Employees!$A$2:$A$17,0))</f>
        <v>Jordan</v>
      </c>
      <c r="I462" s="17" t="str">
        <f>INDEX(Employees!$C$2:$C$17,MATCH(B462,Employees!$A$2:$A$17,0))</f>
        <v>Picker</v>
      </c>
      <c r="J462" s="25">
        <f t="shared" si="14"/>
        <v>45.921052631578952</v>
      </c>
      <c r="K462" s="19">
        <f>IF(J462=0,0,J462/INDEX('Labor Dashboard'!$C$36:$C$39,MATCH(E462,'Labor Dashboard'!$B$36:$B$39,0)))</f>
        <v>0.83492822966507185</v>
      </c>
      <c r="L462" s="18">
        <f t="shared" si="15"/>
        <v>6</v>
      </c>
      <c r="M462" s="20">
        <f>G462*INDEX(Employees!$E$2:$E$17,MATCH(B462,Employees!$A$2:$A$17,0))</f>
        <v>129.19999999999999</v>
      </c>
    </row>
    <row r="463" spans="1:13" ht="18" x14ac:dyDescent="0.2">
      <c r="A463" s="17">
        <v>1349</v>
      </c>
      <c r="B463" s="17">
        <v>18</v>
      </c>
      <c r="C463" s="17" t="s">
        <v>407</v>
      </c>
      <c r="D463" s="17" t="s">
        <v>791</v>
      </c>
      <c r="E463" s="17" t="s">
        <v>792</v>
      </c>
      <c r="F463" s="17">
        <v>450</v>
      </c>
      <c r="G463" s="17">
        <v>7.4</v>
      </c>
      <c r="H463" s="17" t="str">
        <f>INDEX(Employees!$B$2:$B$17,MATCH(B463,Employees!$A$2:$A$17,0))</f>
        <v>Casey</v>
      </c>
      <c r="I463" s="17" t="str">
        <f>INDEX(Employees!$C$2:$C$17,MATCH(B463,Employees!$A$2:$A$17,0))</f>
        <v>Picker</v>
      </c>
      <c r="J463" s="25">
        <f t="shared" si="14"/>
        <v>60.810810810810807</v>
      </c>
      <c r="K463" s="19">
        <f>IF(J463=0,0,J463/INDEX('Labor Dashboard'!$C$36:$C$39,MATCH(E463,'Labor Dashboard'!$B$36:$B$39,0)))</f>
        <v>1.1056511056511056</v>
      </c>
      <c r="L463" s="18">
        <f t="shared" si="15"/>
        <v>6</v>
      </c>
      <c r="M463" s="20">
        <f>G463*INDEX(Employees!$E$2:$E$17,MATCH(B463,Employees!$A$2:$A$17,0))</f>
        <v>125.80000000000001</v>
      </c>
    </row>
    <row r="464" spans="1:13" ht="18" x14ac:dyDescent="0.2">
      <c r="A464" s="17">
        <v>1350</v>
      </c>
      <c r="B464" s="17">
        <v>19</v>
      </c>
      <c r="C464" s="17" t="s">
        <v>407</v>
      </c>
      <c r="D464" s="17" t="s">
        <v>793</v>
      </c>
      <c r="E464" s="17" t="s">
        <v>792</v>
      </c>
      <c r="F464" s="17">
        <v>359</v>
      </c>
      <c r="G464" s="17">
        <v>6.9</v>
      </c>
      <c r="H464" s="17" t="str">
        <f>INDEX(Employees!$B$2:$B$17,MATCH(B464,Employees!$A$2:$A$17,0))</f>
        <v>Morgan</v>
      </c>
      <c r="I464" s="17" t="str">
        <f>INDEX(Employees!$C$2:$C$17,MATCH(B464,Employees!$A$2:$A$17,0))</f>
        <v>Picker</v>
      </c>
      <c r="J464" s="25">
        <f t="shared" si="14"/>
        <v>52.028985507246375</v>
      </c>
      <c r="K464" s="19">
        <f>IF(J464=0,0,J464/INDEX('Labor Dashboard'!$C$36:$C$39,MATCH(E464,'Labor Dashboard'!$B$36:$B$39,0)))</f>
        <v>0.94598155467720679</v>
      </c>
      <c r="L464" s="18">
        <f t="shared" si="15"/>
        <v>6</v>
      </c>
      <c r="M464" s="20">
        <f>G464*INDEX(Employees!$E$2:$E$17,MATCH(B464,Employees!$A$2:$A$17,0))</f>
        <v>117.30000000000001</v>
      </c>
    </row>
    <row r="465" spans="1:13" ht="18" x14ac:dyDescent="0.2">
      <c r="A465" s="17">
        <v>1351</v>
      </c>
      <c r="B465" s="17">
        <v>21</v>
      </c>
      <c r="C465" s="17" t="s">
        <v>407</v>
      </c>
      <c r="D465" s="17" t="s">
        <v>793</v>
      </c>
      <c r="E465" s="17" t="s">
        <v>794</v>
      </c>
      <c r="F465" s="17">
        <v>300</v>
      </c>
      <c r="G465" s="17">
        <v>7.7</v>
      </c>
      <c r="H465" s="17" t="str">
        <f>INDEX(Employees!$B$2:$B$17,MATCH(B465,Employees!$A$2:$A$17,0))</f>
        <v>Riley</v>
      </c>
      <c r="I465" s="17" t="str">
        <f>INDEX(Employees!$C$2:$C$17,MATCH(B465,Employees!$A$2:$A$17,0))</f>
        <v>Packer</v>
      </c>
      <c r="J465" s="25">
        <f t="shared" si="14"/>
        <v>38.961038961038959</v>
      </c>
      <c r="K465" s="19">
        <f>IF(J465=0,0,J465/INDEX('Labor Dashboard'!$C$36:$C$39,MATCH(E465,'Labor Dashboard'!$B$36:$B$39,0)))</f>
        <v>0.86580086580086579</v>
      </c>
      <c r="L465" s="18">
        <f t="shared" si="15"/>
        <v>6</v>
      </c>
      <c r="M465" s="20">
        <f>G465*INDEX(Employees!$E$2:$E$17,MATCH(B465,Employees!$A$2:$A$17,0))</f>
        <v>130.9</v>
      </c>
    </row>
    <row r="466" spans="1:13" ht="18" x14ac:dyDescent="0.2">
      <c r="A466" s="17">
        <v>1352</v>
      </c>
      <c r="B466" s="17">
        <v>22</v>
      </c>
      <c r="C466" s="17" t="s">
        <v>407</v>
      </c>
      <c r="D466" s="17" t="s">
        <v>793</v>
      </c>
      <c r="E466" s="17" t="s">
        <v>794</v>
      </c>
      <c r="F466" s="17">
        <v>336</v>
      </c>
      <c r="G466" s="17">
        <v>6.6</v>
      </c>
      <c r="H466" s="17" t="str">
        <f>INDEX(Employees!$B$2:$B$17,MATCH(B466,Employees!$A$2:$A$17,0))</f>
        <v>Avery</v>
      </c>
      <c r="I466" s="17" t="str">
        <f>INDEX(Employees!$C$2:$C$17,MATCH(B466,Employees!$A$2:$A$17,0))</f>
        <v>Packer</v>
      </c>
      <c r="J466" s="25">
        <f t="shared" si="14"/>
        <v>50.909090909090914</v>
      </c>
      <c r="K466" s="19">
        <f>IF(J466=0,0,J466/INDEX('Labor Dashboard'!$C$36:$C$39,MATCH(E466,'Labor Dashboard'!$B$36:$B$39,0)))</f>
        <v>1.1313131313131315</v>
      </c>
      <c r="L466" s="18">
        <f t="shared" si="15"/>
        <v>6</v>
      </c>
      <c r="M466" s="20">
        <f>G466*INDEX(Employees!$E$2:$E$17,MATCH(B466,Employees!$A$2:$A$17,0))</f>
        <v>112.19999999999999</v>
      </c>
    </row>
    <row r="467" spans="1:13" ht="18" x14ac:dyDescent="0.2">
      <c r="A467" s="17">
        <v>1353</v>
      </c>
      <c r="B467" s="17">
        <v>23</v>
      </c>
      <c r="C467" s="17" t="s">
        <v>407</v>
      </c>
      <c r="D467" s="17" t="s">
        <v>793</v>
      </c>
      <c r="E467" s="17" t="s">
        <v>794</v>
      </c>
      <c r="F467" s="17">
        <v>400</v>
      </c>
      <c r="G467" s="17">
        <v>8.1999999999999993</v>
      </c>
      <c r="H467" s="17" t="str">
        <f>INDEX(Employees!$B$2:$B$17,MATCH(B467,Employees!$A$2:$A$17,0))</f>
        <v>Cameron</v>
      </c>
      <c r="I467" s="17" t="str">
        <f>INDEX(Employees!$C$2:$C$17,MATCH(B467,Employees!$A$2:$A$17,0))</f>
        <v>Packer</v>
      </c>
      <c r="J467" s="25">
        <f t="shared" si="14"/>
        <v>48.780487804878049</v>
      </c>
      <c r="K467" s="19">
        <f>IF(J467=0,0,J467/INDEX('Labor Dashboard'!$C$36:$C$39,MATCH(E467,'Labor Dashboard'!$B$36:$B$39,0)))</f>
        <v>1.0840108401084012</v>
      </c>
      <c r="L467" s="18">
        <f t="shared" si="15"/>
        <v>6</v>
      </c>
      <c r="M467" s="20">
        <f>G467*INDEX(Employees!$E$2:$E$17,MATCH(B467,Employees!$A$2:$A$17,0))</f>
        <v>139.39999999999998</v>
      </c>
    </row>
    <row r="468" spans="1:13" ht="18" x14ac:dyDescent="0.2">
      <c r="A468" s="17">
        <v>1354</v>
      </c>
      <c r="B468" s="17">
        <v>24</v>
      </c>
      <c r="C468" s="17" t="s">
        <v>407</v>
      </c>
      <c r="D468" s="17" t="s">
        <v>791</v>
      </c>
      <c r="E468" s="17" t="s">
        <v>795</v>
      </c>
      <c r="F468" s="17">
        <v>210</v>
      </c>
      <c r="G468" s="17">
        <v>7.7</v>
      </c>
      <c r="H468" s="17" t="str">
        <f>INDEX(Employees!$B$2:$B$17,MATCH(B468,Employees!$A$2:$A$17,0))</f>
        <v>Dakota</v>
      </c>
      <c r="I468" s="17" t="str">
        <f>INDEX(Employees!$C$2:$C$17,MATCH(B468,Employees!$A$2:$A$17,0))</f>
        <v>Forklift Operator</v>
      </c>
      <c r="J468" s="25">
        <f t="shared" si="14"/>
        <v>27.272727272727273</v>
      </c>
      <c r="K468" s="19">
        <f>IF(J468=0,0,J468/INDEX('Labor Dashboard'!$C$36:$C$39,MATCH(E468,'Labor Dashboard'!$B$36:$B$39,0)))</f>
        <v>0.90909090909090906</v>
      </c>
      <c r="L468" s="18">
        <f t="shared" si="15"/>
        <v>6</v>
      </c>
      <c r="M468" s="20">
        <f>G468*INDEX(Employees!$E$2:$E$17,MATCH(B468,Employees!$A$2:$A$17,0))</f>
        <v>150.15</v>
      </c>
    </row>
    <row r="469" spans="1:13" ht="18" x14ac:dyDescent="0.2">
      <c r="A469" s="17">
        <v>1355</v>
      </c>
      <c r="B469" s="17">
        <v>25</v>
      </c>
      <c r="C469" s="17" t="s">
        <v>407</v>
      </c>
      <c r="D469" s="17" t="s">
        <v>791</v>
      </c>
      <c r="E469" s="17" t="s">
        <v>795</v>
      </c>
      <c r="F469" s="17">
        <v>190</v>
      </c>
      <c r="G469" s="17">
        <v>6.6</v>
      </c>
      <c r="H469" s="17" t="str">
        <f>INDEX(Employees!$B$2:$B$17,MATCH(B469,Employees!$A$2:$A$17,0))</f>
        <v>Hayden</v>
      </c>
      <c r="I469" s="17" t="str">
        <f>INDEX(Employees!$C$2:$C$17,MATCH(B469,Employees!$A$2:$A$17,0))</f>
        <v>Forklift Operator</v>
      </c>
      <c r="J469" s="25">
        <f t="shared" si="14"/>
        <v>28.787878787878789</v>
      </c>
      <c r="K469" s="19">
        <f>IF(J469=0,0,J469/INDEX('Labor Dashboard'!$C$36:$C$39,MATCH(E469,'Labor Dashboard'!$B$36:$B$39,0)))</f>
        <v>0.95959595959595967</v>
      </c>
      <c r="L469" s="18">
        <f t="shared" si="15"/>
        <v>6</v>
      </c>
      <c r="M469" s="20">
        <f>G469*INDEX(Employees!$E$2:$E$17,MATCH(B469,Employees!$A$2:$A$17,0))</f>
        <v>128.69999999999999</v>
      </c>
    </row>
    <row r="470" spans="1:13" ht="18" x14ac:dyDescent="0.2">
      <c r="A470" s="17">
        <v>1356</v>
      </c>
      <c r="B470" s="17">
        <v>26</v>
      </c>
      <c r="C470" s="17" t="s">
        <v>407</v>
      </c>
      <c r="D470" s="17" t="s">
        <v>793</v>
      </c>
      <c r="E470" s="17" t="s">
        <v>795</v>
      </c>
      <c r="F470" s="17">
        <v>184</v>
      </c>
      <c r="G470" s="17">
        <v>6.9</v>
      </c>
      <c r="H470" s="17" t="str">
        <f>INDEX(Employees!$B$2:$B$17,MATCH(B470,Employees!$A$2:$A$17,0))</f>
        <v>Reese</v>
      </c>
      <c r="I470" s="17" t="str">
        <f>INDEX(Employees!$C$2:$C$17,MATCH(B470,Employees!$A$2:$A$17,0))</f>
        <v>Receiving Clerk</v>
      </c>
      <c r="J470" s="25">
        <f t="shared" si="14"/>
        <v>26.666666666666664</v>
      </c>
      <c r="K470" s="19">
        <f>IF(J470=0,0,J470/INDEX('Labor Dashboard'!$C$36:$C$39,MATCH(E470,'Labor Dashboard'!$B$36:$B$39,0)))</f>
        <v>0.88888888888888884</v>
      </c>
      <c r="L470" s="18">
        <f t="shared" si="15"/>
        <v>6</v>
      </c>
      <c r="M470" s="20">
        <f>G470*INDEX(Employees!$E$2:$E$17,MATCH(B470,Employees!$A$2:$A$17,0))</f>
        <v>124.2</v>
      </c>
    </row>
    <row r="471" spans="1:13" ht="18" x14ac:dyDescent="0.2">
      <c r="A471" s="17">
        <v>1357</v>
      </c>
      <c r="B471" s="17">
        <v>27</v>
      </c>
      <c r="C471" s="17" t="s">
        <v>407</v>
      </c>
      <c r="D471" s="17" t="s">
        <v>791</v>
      </c>
      <c r="E471" s="17" t="s">
        <v>795</v>
      </c>
      <c r="F471" s="17">
        <v>155</v>
      </c>
      <c r="G471" s="17">
        <v>6.6</v>
      </c>
      <c r="H471" s="17" t="str">
        <f>INDEX(Employees!$B$2:$B$17,MATCH(B471,Employees!$A$2:$A$17,0))</f>
        <v>Skyler</v>
      </c>
      <c r="I471" s="17" t="str">
        <f>INDEX(Employees!$C$2:$C$17,MATCH(B471,Employees!$A$2:$A$17,0))</f>
        <v>Receiving Clerk</v>
      </c>
      <c r="J471" s="25">
        <f t="shared" si="14"/>
        <v>23.484848484848484</v>
      </c>
      <c r="K471" s="19">
        <f>IF(J471=0,0,J471/INDEX('Labor Dashboard'!$C$36:$C$39,MATCH(E471,'Labor Dashboard'!$B$36:$B$39,0)))</f>
        <v>0.78282828282828276</v>
      </c>
      <c r="L471" s="18">
        <f t="shared" si="15"/>
        <v>6</v>
      </c>
      <c r="M471" s="20">
        <f>G471*INDEX(Employees!$E$2:$E$17,MATCH(B471,Employees!$A$2:$A$17,0))</f>
        <v>118.8</v>
      </c>
    </row>
    <row r="472" spans="1:13" ht="18" x14ac:dyDescent="0.2">
      <c r="A472" s="17">
        <v>1358</v>
      </c>
      <c r="B472" s="17">
        <v>28</v>
      </c>
      <c r="C472" s="17" t="s">
        <v>407</v>
      </c>
      <c r="D472" s="17" t="s">
        <v>793</v>
      </c>
      <c r="E472" s="17" t="s">
        <v>796</v>
      </c>
      <c r="F472" s="17">
        <v>157</v>
      </c>
      <c r="G472" s="17">
        <v>6.8</v>
      </c>
      <c r="H472" s="17" t="str">
        <f>INDEX(Employees!$B$2:$B$17,MATCH(B472,Employees!$A$2:$A$17,0))</f>
        <v>Peyton</v>
      </c>
      <c r="I472" s="17" t="str">
        <f>INDEX(Employees!$C$2:$C$17,MATCH(B472,Employees!$A$2:$A$17,0))</f>
        <v>Cycle Counter</v>
      </c>
      <c r="J472" s="25">
        <f t="shared" si="14"/>
        <v>23.088235294117649</v>
      </c>
      <c r="K472" s="19">
        <f>IF(J472=0,0,J472/INDEX('Labor Dashboard'!$C$36:$C$39,MATCH(E472,'Labor Dashboard'!$B$36:$B$39,0)))</f>
        <v>0.92352941176470593</v>
      </c>
      <c r="L472" s="18">
        <f t="shared" si="15"/>
        <v>6</v>
      </c>
      <c r="M472" s="20">
        <f>G472*INDEX(Employees!$E$2:$E$17,MATCH(B472,Employees!$A$2:$A$17,0))</f>
        <v>122.39999999999999</v>
      </c>
    </row>
    <row r="473" spans="1:13" ht="18" x14ac:dyDescent="0.2">
      <c r="A473" s="17">
        <v>1359</v>
      </c>
      <c r="B473" s="17">
        <v>29</v>
      </c>
      <c r="C473" s="17" t="s">
        <v>407</v>
      </c>
      <c r="D473" s="17" t="s">
        <v>791</v>
      </c>
      <c r="E473" s="17" t="s">
        <v>796</v>
      </c>
      <c r="F473" s="17">
        <v>203</v>
      </c>
      <c r="G473" s="17">
        <v>7.5</v>
      </c>
      <c r="H473" s="17" t="str">
        <f>INDEX(Employees!$B$2:$B$17,MATCH(B473,Employees!$A$2:$A$17,0))</f>
        <v>Rowan</v>
      </c>
      <c r="I473" s="17" t="str">
        <f>INDEX(Employees!$C$2:$C$17,MATCH(B473,Employees!$A$2:$A$17,0))</f>
        <v>Cycle Counter</v>
      </c>
      <c r="J473" s="25">
        <f t="shared" si="14"/>
        <v>27.066666666666666</v>
      </c>
      <c r="K473" s="19">
        <f>IF(J473=0,0,J473/INDEX('Labor Dashboard'!$C$36:$C$39,MATCH(E473,'Labor Dashboard'!$B$36:$B$39,0)))</f>
        <v>1.0826666666666667</v>
      </c>
      <c r="L473" s="18">
        <f t="shared" si="15"/>
        <v>6</v>
      </c>
      <c r="M473" s="20">
        <f>G473*INDEX(Employees!$E$2:$E$17,MATCH(B473,Employees!$A$2:$A$17,0))</f>
        <v>135</v>
      </c>
    </row>
    <row r="474" spans="1:13" ht="18" x14ac:dyDescent="0.2">
      <c r="A474" s="17">
        <v>1360</v>
      </c>
      <c r="B474" s="17">
        <v>30</v>
      </c>
      <c r="C474" s="17" t="s">
        <v>407</v>
      </c>
      <c r="D474" s="17" t="s">
        <v>793</v>
      </c>
      <c r="E474" s="17" t="s">
        <v>796</v>
      </c>
      <c r="F474" s="17">
        <v>178</v>
      </c>
      <c r="G474" s="17">
        <v>7.9</v>
      </c>
      <c r="H474" s="17" t="str">
        <f>INDEX(Employees!$B$2:$B$17,MATCH(B474,Employees!$A$2:$A$17,0))</f>
        <v>Emerson</v>
      </c>
      <c r="I474" s="17" t="str">
        <f>INDEX(Employees!$C$2:$C$17,MATCH(B474,Employees!$A$2:$A$17,0))</f>
        <v>Shift Supervisor</v>
      </c>
      <c r="J474" s="25">
        <f t="shared" si="14"/>
        <v>22.531645569620252</v>
      </c>
      <c r="K474" s="19">
        <f>IF(J474=0,0,J474/INDEX('Labor Dashboard'!$C$36:$C$39,MATCH(E474,'Labor Dashboard'!$B$36:$B$39,0)))</f>
        <v>0.90126582278481004</v>
      </c>
      <c r="L474" s="18">
        <f t="shared" si="15"/>
        <v>6</v>
      </c>
      <c r="M474" s="20">
        <f>G474*INDEX(Employees!$E$2:$E$17,MATCH(B474,Employees!$A$2:$A$17,0))</f>
        <v>189.60000000000002</v>
      </c>
    </row>
    <row r="475" spans="1:13" ht="18" x14ac:dyDescent="0.2">
      <c r="A475" s="17">
        <v>1361</v>
      </c>
      <c r="B475" s="17">
        <v>31</v>
      </c>
      <c r="C475" s="17" t="s">
        <v>407</v>
      </c>
      <c r="D475" s="17" t="s">
        <v>791</v>
      </c>
      <c r="E475" s="17" t="s">
        <v>792</v>
      </c>
      <c r="F475" s="17">
        <v>441</v>
      </c>
      <c r="G475" s="17">
        <v>7.9</v>
      </c>
      <c r="H475" s="17" t="str">
        <f>INDEX(Employees!$B$2:$B$17,MATCH(B475,Employees!$A$2:$A$17,0))</f>
        <v>Finley</v>
      </c>
      <c r="I475" s="17" t="str">
        <f>INDEX(Employees!$C$2:$C$17,MATCH(B475,Employees!$A$2:$A$17,0))</f>
        <v>Shift Supervisor</v>
      </c>
      <c r="J475" s="25">
        <f t="shared" si="14"/>
        <v>55.822784810126578</v>
      </c>
      <c r="K475" s="19">
        <f>IF(J475=0,0,J475/INDEX('Labor Dashboard'!$C$36:$C$39,MATCH(E475,'Labor Dashboard'!$B$36:$B$39,0)))</f>
        <v>1.0149597238204833</v>
      </c>
      <c r="L475" s="18">
        <f t="shared" si="15"/>
        <v>6</v>
      </c>
      <c r="M475" s="20">
        <f>G475*INDEX(Employees!$E$2:$E$17,MATCH(B475,Employees!$A$2:$A$17,0))</f>
        <v>189.60000000000002</v>
      </c>
    </row>
    <row r="476" spans="1:13" ht="18" x14ac:dyDescent="0.2">
      <c r="A476" s="17">
        <v>1362</v>
      </c>
      <c r="B476" s="17">
        <v>17</v>
      </c>
      <c r="C476" s="17" t="s">
        <v>179</v>
      </c>
      <c r="D476" s="17" t="s">
        <v>791</v>
      </c>
      <c r="E476" s="17" t="s">
        <v>792</v>
      </c>
      <c r="F476" s="17">
        <v>342</v>
      </c>
      <c r="G476" s="17">
        <v>6.5</v>
      </c>
      <c r="H476" s="17" t="str">
        <f>INDEX(Employees!$B$2:$B$17,MATCH(B476,Employees!$A$2:$A$17,0))</f>
        <v>Jordan</v>
      </c>
      <c r="I476" s="17" t="str">
        <f>INDEX(Employees!$C$2:$C$17,MATCH(B476,Employees!$A$2:$A$17,0))</f>
        <v>Picker</v>
      </c>
      <c r="J476" s="25">
        <f t="shared" si="14"/>
        <v>52.615384615384613</v>
      </c>
      <c r="K476" s="19">
        <f>IF(J476=0,0,J476/INDEX('Labor Dashboard'!$C$36:$C$39,MATCH(E476,'Labor Dashboard'!$B$36:$B$39,0)))</f>
        <v>0.95664335664335665</v>
      </c>
      <c r="L476" s="18">
        <f t="shared" si="15"/>
        <v>7</v>
      </c>
      <c r="M476" s="20">
        <f>G476*INDEX(Employees!$E$2:$E$17,MATCH(B476,Employees!$A$2:$A$17,0))</f>
        <v>110.5</v>
      </c>
    </row>
    <row r="477" spans="1:13" ht="18" x14ac:dyDescent="0.2">
      <c r="A477" s="17">
        <v>1363</v>
      </c>
      <c r="B477" s="17">
        <v>18</v>
      </c>
      <c r="C477" s="17" t="s">
        <v>179</v>
      </c>
      <c r="D477" s="17" t="s">
        <v>791</v>
      </c>
      <c r="E477" s="17" t="s">
        <v>792</v>
      </c>
      <c r="F477" s="17">
        <v>392</v>
      </c>
      <c r="G477" s="17">
        <v>7.4</v>
      </c>
      <c r="H477" s="17" t="str">
        <f>INDEX(Employees!$B$2:$B$17,MATCH(B477,Employees!$A$2:$A$17,0))</f>
        <v>Casey</v>
      </c>
      <c r="I477" s="17" t="str">
        <f>INDEX(Employees!$C$2:$C$17,MATCH(B477,Employees!$A$2:$A$17,0))</f>
        <v>Picker</v>
      </c>
      <c r="J477" s="25">
        <f t="shared" si="14"/>
        <v>52.972972972972968</v>
      </c>
      <c r="K477" s="19">
        <f>IF(J477=0,0,J477/INDEX('Labor Dashboard'!$C$36:$C$39,MATCH(E477,'Labor Dashboard'!$B$36:$B$39,0)))</f>
        <v>0.96314496314496301</v>
      </c>
      <c r="L477" s="18">
        <f t="shared" si="15"/>
        <v>7</v>
      </c>
      <c r="M477" s="20">
        <f>G477*INDEX(Employees!$E$2:$E$17,MATCH(B477,Employees!$A$2:$A$17,0))</f>
        <v>125.80000000000001</v>
      </c>
    </row>
    <row r="478" spans="1:13" ht="18" x14ac:dyDescent="0.2">
      <c r="A478" s="17">
        <v>1364</v>
      </c>
      <c r="B478" s="17">
        <v>19</v>
      </c>
      <c r="C478" s="17" t="s">
        <v>179</v>
      </c>
      <c r="D478" s="17" t="s">
        <v>793</v>
      </c>
      <c r="E478" s="17" t="s">
        <v>792</v>
      </c>
      <c r="F478" s="17">
        <v>406</v>
      </c>
      <c r="G478" s="17">
        <v>7.1</v>
      </c>
      <c r="H478" s="17" t="str">
        <f>INDEX(Employees!$B$2:$B$17,MATCH(B478,Employees!$A$2:$A$17,0))</f>
        <v>Morgan</v>
      </c>
      <c r="I478" s="17" t="str">
        <f>INDEX(Employees!$C$2:$C$17,MATCH(B478,Employees!$A$2:$A$17,0))</f>
        <v>Picker</v>
      </c>
      <c r="J478" s="25">
        <f t="shared" si="14"/>
        <v>57.183098591549296</v>
      </c>
      <c r="K478" s="19">
        <f>IF(J478=0,0,J478/INDEX('Labor Dashboard'!$C$36:$C$39,MATCH(E478,'Labor Dashboard'!$B$36:$B$39,0)))</f>
        <v>1.0396927016645328</v>
      </c>
      <c r="L478" s="18">
        <f t="shared" si="15"/>
        <v>7</v>
      </c>
      <c r="M478" s="20">
        <f>G478*INDEX(Employees!$E$2:$E$17,MATCH(B478,Employees!$A$2:$A$17,0))</f>
        <v>120.69999999999999</v>
      </c>
    </row>
    <row r="479" spans="1:13" ht="18" x14ac:dyDescent="0.2">
      <c r="A479" s="17">
        <v>1365</v>
      </c>
      <c r="B479" s="17">
        <v>20</v>
      </c>
      <c r="C479" s="17" t="s">
        <v>179</v>
      </c>
      <c r="D479" s="17" t="s">
        <v>791</v>
      </c>
      <c r="E479" s="17" t="s">
        <v>792</v>
      </c>
      <c r="F479" s="17">
        <v>406</v>
      </c>
      <c r="G479" s="17">
        <v>7.2</v>
      </c>
      <c r="H479" s="17" t="str">
        <f>INDEX(Employees!$B$2:$B$17,MATCH(B479,Employees!$A$2:$A$17,0))</f>
        <v>Taylor</v>
      </c>
      <c r="I479" s="17" t="str">
        <f>INDEX(Employees!$C$2:$C$17,MATCH(B479,Employees!$A$2:$A$17,0))</f>
        <v>Picker</v>
      </c>
      <c r="J479" s="25">
        <f t="shared" si="14"/>
        <v>56.388888888888886</v>
      </c>
      <c r="K479" s="19">
        <f>IF(J479=0,0,J479/INDEX('Labor Dashboard'!$C$36:$C$39,MATCH(E479,'Labor Dashboard'!$B$36:$B$39,0)))</f>
        <v>1.0252525252525253</v>
      </c>
      <c r="L479" s="18">
        <f t="shared" si="15"/>
        <v>7</v>
      </c>
      <c r="M479" s="20">
        <f>G479*INDEX(Employees!$E$2:$E$17,MATCH(B479,Employees!$A$2:$A$17,0))</f>
        <v>122.4</v>
      </c>
    </row>
    <row r="480" spans="1:13" ht="18" x14ac:dyDescent="0.2">
      <c r="A480" s="17">
        <v>1366</v>
      </c>
      <c r="B480" s="17">
        <v>21</v>
      </c>
      <c r="C480" s="17" t="s">
        <v>179</v>
      </c>
      <c r="D480" s="17" t="s">
        <v>793</v>
      </c>
      <c r="E480" s="17" t="s">
        <v>794</v>
      </c>
      <c r="F480" s="17">
        <v>277</v>
      </c>
      <c r="G480" s="17">
        <v>7.2</v>
      </c>
      <c r="H480" s="17" t="str">
        <f>INDEX(Employees!$B$2:$B$17,MATCH(B480,Employees!$A$2:$A$17,0))</f>
        <v>Riley</v>
      </c>
      <c r="I480" s="17" t="str">
        <f>INDEX(Employees!$C$2:$C$17,MATCH(B480,Employees!$A$2:$A$17,0))</f>
        <v>Packer</v>
      </c>
      <c r="J480" s="25">
        <f t="shared" si="14"/>
        <v>38.472222222222221</v>
      </c>
      <c r="K480" s="19">
        <f>IF(J480=0,0,J480/INDEX('Labor Dashboard'!$C$36:$C$39,MATCH(E480,'Labor Dashboard'!$B$36:$B$39,0)))</f>
        <v>0.85493827160493829</v>
      </c>
      <c r="L480" s="18">
        <f t="shared" si="15"/>
        <v>7</v>
      </c>
      <c r="M480" s="20">
        <f>G480*INDEX(Employees!$E$2:$E$17,MATCH(B480,Employees!$A$2:$A$17,0))</f>
        <v>122.4</v>
      </c>
    </row>
    <row r="481" spans="1:13" ht="18" x14ac:dyDescent="0.2">
      <c r="A481" s="17">
        <v>1367</v>
      </c>
      <c r="B481" s="17">
        <v>22</v>
      </c>
      <c r="C481" s="17" t="s">
        <v>179</v>
      </c>
      <c r="D481" s="17" t="s">
        <v>791</v>
      </c>
      <c r="E481" s="17" t="s">
        <v>794</v>
      </c>
      <c r="F481" s="17">
        <v>383</v>
      </c>
      <c r="G481" s="17">
        <v>7.2</v>
      </c>
      <c r="H481" s="17" t="str">
        <f>INDEX(Employees!$B$2:$B$17,MATCH(B481,Employees!$A$2:$A$17,0))</f>
        <v>Avery</v>
      </c>
      <c r="I481" s="17" t="str">
        <f>INDEX(Employees!$C$2:$C$17,MATCH(B481,Employees!$A$2:$A$17,0))</f>
        <v>Packer</v>
      </c>
      <c r="J481" s="25">
        <f t="shared" si="14"/>
        <v>53.194444444444443</v>
      </c>
      <c r="K481" s="19">
        <f>IF(J481=0,0,J481/INDEX('Labor Dashboard'!$C$36:$C$39,MATCH(E481,'Labor Dashboard'!$B$36:$B$39,0)))</f>
        <v>1.1820987654320987</v>
      </c>
      <c r="L481" s="18">
        <f t="shared" si="15"/>
        <v>7</v>
      </c>
      <c r="M481" s="20">
        <f>G481*INDEX(Employees!$E$2:$E$17,MATCH(B481,Employees!$A$2:$A$17,0))</f>
        <v>122.4</v>
      </c>
    </row>
    <row r="482" spans="1:13" ht="18" x14ac:dyDescent="0.2">
      <c r="A482" s="17">
        <v>1368</v>
      </c>
      <c r="B482" s="17">
        <v>23</v>
      </c>
      <c r="C482" s="17" t="s">
        <v>179</v>
      </c>
      <c r="D482" s="17" t="s">
        <v>793</v>
      </c>
      <c r="E482" s="17" t="s">
        <v>794</v>
      </c>
      <c r="F482" s="17">
        <v>390</v>
      </c>
      <c r="G482" s="17">
        <v>7.1</v>
      </c>
      <c r="H482" s="17" t="str">
        <f>INDEX(Employees!$B$2:$B$17,MATCH(B482,Employees!$A$2:$A$17,0))</f>
        <v>Cameron</v>
      </c>
      <c r="I482" s="17" t="str">
        <f>INDEX(Employees!$C$2:$C$17,MATCH(B482,Employees!$A$2:$A$17,0))</f>
        <v>Packer</v>
      </c>
      <c r="J482" s="25">
        <f t="shared" si="14"/>
        <v>54.929577464788736</v>
      </c>
      <c r="K482" s="19">
        <f>IF(J482=0,0,J482/INDEX('Labor Dashboard'!$C$36:$C$39,MATCH(E482,'Labor Dashboard'!$B$36:$B$39,0)))</f>
        <v>1.2206572769953052</v>
      </c>
      <c r="L482" s="18">
        <f t="shared" si="15"/>
        <v>7</v>
      </c>
      <c r="M482" s="20">
        <f>G482*INDEX(Employees!$E$2:$E$17,MATCH(B482,Employees!$A$2:$A$17,0))</f>
        <v>120.69999999999999</v>
      </c>
    </row>
    <row r="483" spans="1:13" ht="18" x14ac:dyDescent="0.2">
      <c r="A483" s="17">
        <v>1369</v>
      </c>
      <c r="B483" s="17">
        <v>24</v>
      </c>
      <c r="C483" s="17" t="s">
        <v>179</v>
      </c>
      <c r="D483" s="17" t="s">
        <v>791</v>
      </c>
      <c r="E483" s="17" t="s">
        <v>795</v>
      </c>
      <c r="F483" s="17">
        <v>220</v>
      </c>
      <c r="G483" s="17">
        <v>7.1</v>
      </c>
      <c r="H483" s="17" t="str">
        <f>INDEX(Employees!$B$2:$B$17,MATCH(B483,Employees!$A$2:$A$17,0))</f>
        <v>Dakota</v>
      </c>
      <c r="I483" s="17" t="str">
        <f>INDEX(Employees!$C$2:$C$17,MATCH(B483,Employees!$A$2:$A$17,0))</f>
        <v>Forklift Operator</v>
      </c>
      <c r="J483" s="25">
        <f t="shared" si="14"/>
        <v>30.985915492957748</v>
      </c>
      <c r="K483" s="19">
        <f>IF(J483=0,0,J483/INDEX('Labor Dashboard'!$C$36:$C$39,MATCH(E483,'Labor Dashboard'!$B$36:$B$39,0)))</f>
        <v>1.0328638497652582</v>
      </c>
      <c r="L483" s="18">
        <f t="shared" si="15"/>
        <v>7</v>
      </c>
      <c r="M483" s="20">
        <f>G483*INDEX(Employees!$E$2:$E$17,MATCH(B483,Employees!$A$2:$A$17,0))</f>
        <v>138.44999999999999</v>
      </c>
    </row>
    <row r="484" spans="1:13" ht="18" x14ac:dyDescent="0.2">
      <c r="A484" s="17">
        <v>1370</v>
      </c>
      <c r="B484" s="17">
        <v>25</v>
      </c>
      <c r="C484" s="17" t="s">
        <v>179</v>
      </c>
      <c r="D484" s="17" t="s">
        <v>791</v>
      </c>
      <c r="E484" s="17" t="s">
        <v>792</v>
      </c>
      <c r="F484" s="17">
        <v>437</v>
      </c>
      <c r="G484" s="17">
        <v>7.3</v>
      </c>
      <c r="H484" s="17" t="str">
        <f>INDEX(Employees!$B$2:$B$17,MATCH(B484,Employees!$A$2:$A$17,0))</f>
        <v>Hayden</v>
      </c>
      <c r="I484" s="17" t="str">
        <f>INDEX(Employees!$C$2:$C$17,MATCH(B484,Employees!$A$2:$A$17,0))</f>
        <v>Forklift Operator</v>
      </c>
      <c r="J484" s="25">
        <f t="shared" si="14"/>
        <v>59.863013698630141</v>
      </c>
      <c r="K484" s="19">
        <f>IF(J484=0,0,J484/INDEX('Labor Dashboard'!$C$36:$C$39,MATCH(E484,'Labor Dashboard'!$B$36:$B$39,0)))</f>
        <v>1.0884184308841844</v>
      </c>
      <c r="L484" s="18">
        <f t="shared" si="15"/>
        <v>7</v>
      </c>
      <c r="M484" s="20">
        <f>G484*INDEX(Employees!$E$2:$E$17,MATCH(B484,Employees!$A$2:$A$17,0))</f>
        <v>142.35</v>
      </c>
    </row>
    <row r="485" spans="1:13" ht="18" x14ac:dyDescent="0.2">
      <c r="A485" s="17">
        <v>1371</v>
      </c>
      <c r="B485" s="17">
        <v>26</v>
      </c>
      <c r="C485" s="17" t="s">
        <v>179</v>
      </c>
      <c r="D485" s="17" t="s">
        <v>793</v>
      </c>
      <c r="E485" s="17" t="s">
        <v>795</v>
      </c>
      <c r="F485" s="17">
        <v>205</v>
      </c>
      <c r="G485" s="17">
        <v>7.2</v>
      </c>
      <c r="H485" s="17" t="str">
        <f>INDEX(Employees!$B$2:$B$17,MATCH(B485,Employees!$A$2:$A$17,0))</f>
        <v>Reese</v>
      </c>
      <c r="I485" s="17" t="str">
        <f>INDEX(Employees!$C$2:$C$17,MATCH(B485,Employees!$A$2:$A$17,0))</f>
        <v>Receiving Clerk</v>
      </c>
      <c r="J485" s="25">
        <f t="shared" si="14"/>
        <v>28.472222222222221</v>
      </c>
      <c r="K485" s="19">
        <f>IF(J485=0,0,J485/INDEX('Labor Dashboard'!$C$36:$C$39,MATCH(E485,'Labor Dashboard'!$B$36:$B$39,0)))</f>
        <v>0.94907407407407407</v>
      </c>
      <c r="L485" s="18">
        <f t="shared" si="15"/>
        <v>7</v>
      </c>
      <c r="M485" s="20">
        <f>G485*INDEX(Employees!$E$2:$E$17,MATCH(B485,Employees!$A$2:$A$17,0))</f>
        <v>129.6</v>
      </c>
    </row>
    <row r="486" spans="1:13" ht="18" x14ac:dyDescent="0.2">
      <c r="A486" s="17">
        <v>1372</v>
      </c>
      <c r="B486" s="17">
        <v>28</v>
      </c>
      <c r="C486" s="17" t="s">
        <v>179</v>
      </c>
      <c r="D486" s="17" t="s">
        <v>793</v>
      </c>
      <c r="E486" s="17" t="s">
        <v>796</v>
      </c>
      <c r="F486" s="17">
        <v>179</v>
      </c>
      <c r="G486" s="17">
        <v>7.3</v>
      </c>
      <c r="H486" s="17" t="str">
        <f>INDEX(Employees!$B$2:$B$17,MATCH(B486,Employees!$A$2:$A$17,0))</f>
        <v>Peyton</v>
      </c>
      <c r="I486" s="17" t="str">
        <f>INDEX(Employees!$C$2:$C$17,MATCH(B486,Employees!$A$2:$A$17,0))</f>
        <v>Cycle Counter</v>
      </c>
      <c r="J486" s="25">
        <f t="shared" si="14"/>
        <v>24.520547945205479</v>
      </c>
      <c r="K486" s="19">
        <f>IF(J486=0,0,J486/INDEX('Labor Dashboard'!$C$36:$C$39,MATCH(E486,'Labor Dashboard'!$B$36:$B$39,0)))</f>
        <v>0.98082191780821915</v>
      </c>
      <c r="L486" s="18">
        <f t="shared" si="15"/>
        <v>7</v>
      </c>
      <c r="M486" s="20">
        <f>G486*INDEX(Employees!$E$2:$E$17,MATCH(B486,Employees!$A$2:$A$17,0))</f>
        <v>131.4</v>
      </c>
    </row>
    <row r="487" spans="1:13" ht="18" x14ac:dyDescent="0.2">
      <c r="A487" s="17">
        <v>1373</v>
      </c>
      <c r="B487" s="17">
        <v>29</v>
      </c>
      <c r="C487" s="17" t="s">
        <v>179</v>
      </c>
      <c r="D487" s="17" t="s">
        <v>793</v>
      </c>
      <c r="E487" s="17" t="s">
        <v>796</v>
      </c>
      <c r="F487" s="17">
        <v>213</v>
      </c>
      <c r="G487" s="17">
        <v>8.4</v>
      </c>
      <c r="H487" s="17" t="str">
        <f>INDEX(Employees!$B$2:$B$17,MATCH(B487,Employees!$A$2:$A$17,0))</f>
        <v>Rowan</v>
      </c>
      <c r="I487" s="17" t="str">
        <f>INDEX(Employees!$C$2:$C$17,MATCH(B487,Employees!$A$2:$A$17,0))</f>
        <v>Cycle Counter</v>
      </c>
      <c r="J487" s="25">
        <f t="shared" si="14"/>
        <v>25.357142857142858</v>
      </c>
      <c r="K487" s="19">
        <f>IF(J487=0,0,J487/INDEX('Labor Dashboard'!$C$36:$C$39,MATCH(E487,'Labor Dashboard'!$B$36:$B$39,0)))</f>
        <v>1.0142857142857142</v>
      </c>
      <c r="L487" s="18">
        <f t="shared" si="15"/>
        <v>7</v>
      </c>
      <c r="M487" s="20">
        <f>G487*INDEX(Employees!$E$2:$E$17,MATCH(B487,Employees!$A$2:$A$17,0))</f>
        <v>151.20000000000002</v>
      </c>
    </row>
    <row r="488" spans="1:13" ht="18" x14ac:dyDescent="0.2">
      <c r="A488" s="17">
        <v>1374</v>
      </c>
      <c r="B488" s="17">
        <v>30</v>
      </c>
      <c r="C488" s="17" t="s">
        <v>179</v>
      </c>
      <c r="D488" s="17" t="s">
        <v>791</v>
      </c>
      <c r="E488" s="17" t="s">
        <v>792</v>
      </c>
      <c r="F488" s="17">
        <v>301</v>
      </c>
      <c r="G488" s="17">
        <v>6.9</v>
      </c>
      <c r="H488" s="17" t="str">
        <f>INDEX(Employees!$B$2:$B$17,MATCH(B488,Employees!$A$2:$A$17,0))</f>
        <v>Emerson</v>
      </c>
      <c r="I488" s="17" t="str">
        <f>INDEX(Employees!$C$2:$C$17,MATCH(B488,Employees!$A$2:$A$17,0))</f>
        <v>Shift Supervisor</v>
      </c>
      <c r="J488" s="25">
        <f t="shared" si="14"/>
        <v>43.623188405797102</v>
      </c>
      <c r="K488" s="19">
        <f>IF(J488=0,0,J488/INDEX('Labor Dashboard'!$C$36:$C$39,MATCH(E488,'Labor Dashboard'!$B$36:$B$39,0)))</f>
        <v>0.79314888010540185</v>
      </c>
      <c r="L488" s="18">
        <f t="shared" si="15"/>
        <v>7</v>
      </c>
      <c r="M488" s="20">
        <f>G488*INDEX(Employees!$E$2:$E$17,MATCH(B488,Employees!$A$2:$A$17,0))</f>
        <v>165.60000000000002</v>
      </c>
    </row>
    <row r="489" spans="1:13" ht="18" x14ac:dyDescent="0.2">
      <c r="A489" s="17">
        <v>1375</v>
      </c>
      <c r="B489" s="17">
        <v>31</v>
      </c>
      <c r="C489" s="17" t="s">
        <v>179</v>
      </c>
      <c r="D489" s="17" t="s">
        <v>793</v>
      </c>
      <c r="E489" s="17" t="s">
        <v>794</v>
      </c>
      <c r="F489" s="17">
        <v>357</v>
      </c>
      <c r="G489" s="17">
        <v>7.8</v>
      </c>
      <c r="H489" s="17" t="str">
        <f>INDEX(Employees!$B$2:$B$17,MATCH(B489,Employees!$A$2:$A$17,0))</f>
        <v>Finley</v>
      </c>
      <c r="I489" s="17" t="str">
        <f>INDEX(Employees!$C$2:$C$17,MATCH(B489,Employees!$A$2:$A$17,0))</f>
        <v>Shift Supervisor</v>
      </c>
      <c r="J489" s="25">
        <f t="shared" si="14"/>
        <v>45.769230769230774</v>
      </c>
      <c r="K489" s="19">
        <f>IF(J489=0,0,J489/INDEX('Labor Dashboard'!$C$36:$C$39,MATCH(E489,'Labor Dashboard'!$B$36:$B$39,0)))</f>
        <v>1.0170940170940173</v>
      </c>
      <c r="L489" s="18">
        <f t="shared" si="15"/>
        <v>7</v>
      </c>
      <c r="M489" s="20">
        <f>G489*INDEX(Employees!$E$2:$E$17,MATCH(B489,Employees!$A$2:$A$17,0))</f>
        <v>187.2</v>
      </c>
    </row>
    <row r="490" spans="1:13" ht="18" x14ac:dyDescent="0.2">
      <c r="A490" s="17">
        <v>1376</v>
      </c>
      <c r="B490" s="17">
        <v>32</v>
      </c>
      <c r="C490" s="17" t="s">
        <v>179</v>
      </c>
      <c r="D490" s="17" t="s">
        <v>793</v>
      </c>
      <c r="E490" s="17" t="s">
        <v>792</v>
      </c>
      <c r="F490" s="17">
        <v>345</v>
      </c>
      <c r="G490" s="17">
        <v>7.4</v>
      </c>
      <c r="H490" s="17" t="str">
        <f>INDEX(Employees!$B$2:$B$17,MATCH(B490,Employees!$A$2:$A$17,0))</f>
        <v>Sawyer</v>
      </c>
      <c r="I490" s="17" t="str">
        <f>INDEX(Employees!$C$2:$C$17,MATCH(B490,Employees!$A$2:$A$17,0))</f>
        <v>Shift Supervisor</v>
      </c>
      <c r="J490" s="25">
        <f t="shared" si="14"/>
        <v>46.621621621621621</v>
      </c>
      <c r="K490" s="19">
        <f>IF(J490=0,0,J490/INDEX('Labor Dashboard'!$C$36:$C$39,MATCH(E490,'Labor Dashboard'!$B$36:$B$39,0)))</f>
        <v>0.84766584766584763</v>
      </c>
      <c r="L490" s="18">
        <f t="shared" si="15"/>
        <v>7</v>
      </c>
      <c r="M490" s="20">
        <f>G490*INDEX(Employees!$E$2:$E$17,MATCH(B490,Employees!$A$2:$A$17,0))</f>
        <v>177.60000000000002</v>
      </c>
    </row>
    <row r="491" spans="1:13" ht="18" x14ac:dyDescent="0.2">
      <c r="A491" s="17">
        <v>1377</v>
      </c>
      <c r="B491" s="17">
        <v>17</v>
      </c>
      <c r="C491" s="17" t="s">
        <v>454</v>
      </c>
      <c r="D491" s="17" t="s">
        <v>791</v>
      </c>
      <c r="E491" s="17" t="s">
        <v>792</v>
      </c>
      <c r="F491" s="17">
        <v>315</v>
      </c>
      <c r="G491" s="17">
        <v>6.8</v>
      </c>
      <c r="H491" s="17" t="str">
        <f>INDEX(Employees!$B$2:$B$17,MATCH(B491,Employees!$A$2:$A$17,0))</f>
        <v>Jordan</v>
      </c>
      <c r="I491" s="17" t="str">
        <f>INDEX(Employees!$C$2:$C$17,MATCH(B491,Employees!$A$2:$A$17,0))</f>
        <v>Picker</v>
      </c>
      <c r="J491" s="25">
        <f t="shared" si="14"/>
        <v>46.32352941176471</v>
      </c>
      <c r="K491" s="19">
        <f>IF(J491=0,0,J491/INDEX('Labor Dashboard'!$C$36:$C$39,MATCH(E491,'Labor Dashboard'!$B$36:$B$39,0)))</f>
        <v>0.84224598930481287</v>
      </c>
      <c r="L491" s="18">
        <f t="shared" si="15"/>
        <v>7</v>
      </c>
      <c r="M491" s="20">
        <f>G491*INDEX(Employees!$E$2:$E$17,MATCH(B491,Employees!$A$2:$A$17,0))</f>
        <v>115.6</v>
      </c>
    </row>
    <row r="492" spans="1:13" ht="18" x14ac:dyDescent="0.2">
      <c r="A492" s="17">
        <v>1378</v>
      </c>
      <c r="B492" s="17">
        <v>18</v>
      </c>
      <c r="C492" s="17" t="s">
        <v>454</v>
      </c>
      <c r="D492" s="17" t="s">
        <v>793</v>
      </c>
      <c r="E492" s="17" t="s">
        <v>792</v>
      </c>
      <c r="F492" s="17">
        <v>456</v>
      </c>
      <c r="G492" s="17">
        <v>8.1</v>
      </c>
      <c r="H492" s="17" t="str">
        <f>INDEX(Employees!$B$2:$B$17,MATCH(B492,Employees!$A$2:$A$17,0))</f>
        <v>Casey</v>
      </c>
      <c r="I492" s="17" t="str">
        <f>INDEX(Employees!$C$2:$C$17,MATCH(B492,Employees!$A$2:$A$17,0))</f>
        <v>Picker</v>
      </c>
      <c r="J492" s="25">
        <f t="shared" si="14"/>
        <v>56.296296296296298</v>
      </c>
      <c r="K492" s="19">
        <f>IF(J492=0,0,J492/INDEX('Labor Dashboard'!$C$36:$C$39,MATCH(E492,'Labor Dashboard'!$B$36:$B$39,0)))</f>
        <v>1.0235690235690236</v>
      </c>
      <c r="L492" s="18">
        <f t="shared" si="15"/>
        <v>7</v>
      </c>
      <c r="M492" s="20">
        <f>G492*INDEX(Employees!$E$2:$E$17,MATCH(B492,Employees!$A$2:$A$17,0))</f>
        <v>137.69999999999999</v>
      </c>
    </row>
    <row r="493" spans="1:13" ht="18" x14ac:dyDescent="0.2">
      <c r="A493" s="17">
        <v>1379</v>
      </c>
      <c r="B493" s="17">
        <v>19</v>
      </c>
      <c r="C493" s="17" t="s">
        <v>454</v>
      </c>
      <c r="D493" s="17" t="s">
        <v>791</v>
      </c>
      <c r="E493" s="17" t="s">
        <v>792</v>
      </c>
      <c r="F493" s="17">
        <v>391</v>
      </c>
      <c r="G493" s="17">
        <v>7.1</v>
      </c>
      <c r="H493" s="17" t="str">
        <f>INDEX(Employees!$B$2:$B$17,MATCH(B493,Employees!$A$2:$A$17,0))</f>
        <v>Morgan</v>
      </c>
      <c r="I493" s="17" t="str">
        <f>INDEX(Employees!$C$2:$C$17,MATCH(B493,Employees!$A$2:$A$17,0))</f>
        <v>Picker</v>
      </c>
      <c r="J493" s="25">
        <f t="shared" si="14"/>
        <v>55.070422535211272</v>
      </c>
      <c r="K493" s="19">
        <f>IF(J493=0,0,J493/INDEX('Labor Dashboard'!$C$36:$C$39,MATCH(E493,'Labor Dashboard'!$B$36:$B$39,0)))</f>
        <v>1.0012804097311141</v>
      </c>
      <c r="L493" s="18">
        <f t="shared" si="15"/>
        <v>7</v>
      </c>
      <c r="M493" s="20">
        <f>G493*INDEX(Employees!$E$2:$E$17,MATCH(B493,Employees!$A$2:$A$17,0))</f>
        <v>120.69999999999999</v>
      </c>
    </row>
    <row r="494" spans="1:13" ht="18" x14ac:dyDescent="0.2">
      <c r="A494" s="17">
        <v>1380</v>
      </c>
      <c r="B494" s="17">
        <v>20</v>
      </c>
      <c r="C494" s="17" t="s">
        <v>454</v>
      </c>
      <c r="D494" s="17" t="s">
        <v>793</v>
      </c>
      <c r="E494" s="17" t="s">
        <v>792</v>
      </c>
      <c r="F494" s="17">
        <v>401</v>
      </c>
      <c r="G494" s="17">
        <v>7.6</v>
      </c>
      <c r="H494" s="17" t="str">
        <f>INDEX(Employees!$B$2:$B$17,MATCH(B494,Employees!$A$2:$A$17,0))</f>
        <v>Taylor</v>
      </c>
      <c r="I494" s="17" t="str">
        <f>INDEX(Employees!$C$2:$C$17,MATCH(B494,Employees!$A$2:$A$17,0))</f>
        <v>Picker</v>
      </c>
      <c r="J494" s="25">
        <f t="shared" si="14"/>
        <v>52.763157894736842</v>
      </c>
      <c r="K494" s="19">
        <f>IF(J494=0,0,J494/INDEX('Labor Dashboard'!$C$36:$C$39,MATCH(E494,'Labor Dashboard'!$B$36:$B$39,0)))</f>
        <v>0.95933014354066981</v>
      </c>
      <c r="L494" s="18">
        <f t="shared" si="15"/>
        <v>7</v>
      </c>
      <c r="M494" s="20">
        <f>G494*INDEX(Employees!$E$2:$E$17,MATCH(B494,Employees!$A$2:$A$17,0))</f>
        <v>129.19999999999999</v>
      </c>
    </row>
    <row r="495" spans="1:13" ht="18" x14ac:dyDescent="0.2">
      <c r="A495" s="17">
        <v>1381</v>
      </c>
      <c r="B495" s="17">
        <v>21</v>
      </c>
      <c r="C495" s="17" t="s">
        <v>454</v>
      </c>
      <c r="D495" s="17" t="s">
        <v>793</v>
      </c>
      <c r="E495" s="17" t="s">
        <v>794</v>
      </c>
      <c r="F495" s="17">
        <v>254</v>
      </c>
      <c r="G495" s="17">
        <v>6.8</v>
      </c>
      <c r="H495" s="17" t="str">
        <f>INDEX(Employees!$B$2:$B$17,MATCH(B495,Employees!$A$2:$A$17,0))</f>
        <v>Riley</v>
      </c>
      <c r="I495" s="17" t="str">
        <f>INDEX(Employees!$C$2:$C$17,MATCH(B495,Employees!$A$2:$A$17,0))</f>
        <v>Packer</v>
      </c>
      <c r="J495" s="25">
        <f t="shared" si="14"/>
        <v>37.352941176470587</v>
      </c>
      <c r="K495" s="19">
        <f>IF(J495=0,0,J495/INDEX('Labor Dashboard'!$C$36:$C$39,MATCH(E495,'Labor Dashboard'!$B$36:$B$39,0)))</f>
        <v>0.83006535947712412</v>
      </c>
      <c r="L495" s="18">
        <f t="shared" si="15"/>
        <v>7</v>
      </c>
      <c r="M495" s="20">
        <f>G495*INDEX(Employees!$E$2:$E$17,MATCH(B495,Employees!$A$2:$A$17,0))</f>
        <v>115.6</v>
      </c>
    </row>
    <row r="496" spans="1:13" ht="18" x14ac:dyDescent="0.2">
      <c r="A496" s="17">
        <v>1382</v>
      </c>
      <c r="B496" s="17">
        <v>22</v>
      </c>
      <c r="C496" s="17" t="s">
        <v>454</v>
      </c>
      <c r="D496" s="17" t="s">
        <v>793</v>
      </c>
      <c r="E496" s="17" t="s">
        <v>794</v>
      </c>
      <c r="F496" s="17">
        <v>455</v>
      </c>
      <c r="G496" s="17">
        <v>8.5</v>
      </c>
      <c r="H496" s="17" t="str">
        <f>INDEX(Employees!$B$2:$B$17,MATCH(B496,Employees!$A$2:$A$17,0))</f>
        <v>Avery</v>
      </c>
      <c r="I496" s="17" t="str">
        <f>INDEX(Employees!$C$2:$C$17,MATCH(B496,Employees!$A$2:$A$17,0))</f>
        <v>Packer</v>
      </c>
      <c r="J496" s="25">
        <f t="shared" si="14"/>
        <v>53.529411764705884</v>
      </c>
      <c r="K496" s="19">
        <f>IF(J496=0,0,J496/INDEX('Labor Dashboard'!$C$36:$C$39,MATCH(E496,'Labor Dashboard'!$B$36:$B$39,0)))</f>
        <v>1.1895424836601307</v>
      </c>
      <c r="L496" s="18">
        <f t="shared" si="15"/>
        <v>7</v>
      </c>
      <c r="M496" s="20">
        <f>G496*INDEX(Employees!$E$2:$E$17,MATCH(B496,Employees!$A$2:$A$17,0))</f>
        <v>144.5</v>
      </c>
    </row>
    <row r="497" spans="1:13" ht="18" x14ac:dyDescent="0.2">
      <c r="A497" s="17">
        <v>1383</v>
      </c>
      <c r="B497" s="17">
        <v>23</v>
      </c>
      <c r="C497" s="17" t="s">
        <v>454</v>
      </c>
      <c r="D497" s="17" t="s">
        <v>791</v>
      </c>
      <c r="E497" s="17" t="s">
        <v>794</v>
      </c>
      <c r="F497" s="17">
        <v>364</v>
      </c>
      <c r="G497" s="17">
        <v>7.1</v>
      </c>
      <c r="H497" s="17" t="str">
        <f>INDEX(Employees!$B$2:$B$17,MATCH(B497,Employees!$A$2:$A$17,0))</f>
        <v>Cameron</v>
      </c>
      <c r="I497" s="17" t="str">
        <f>INDEX(Employees!$C$2:$C$17,MATCH(B497,Employees!$A$2:$A$17,0))</f>
        <v>Packer</v>
      </c>
      <c r="J497" s="25">
        <f t="shared" si="14"/>
        <v>51.267605633802816</v>
      </c>
      <c r="K497" s="19">
        <f>IF(J497=0,0,J497/INDEX('Labor Dashboard'!$C$36:$C$39,MATCH(E497,'Labor Dashboard'!$B$36:$B$39,0)))</f>
        <v>1.1392801251956182</v>
      </c>
      <c r="L497" s="18">
        <f t="shared" si="15"/>
        <v>7</v>
      </c>
      <c r="M497" s="20">
        <f>G497*INDEX(Employees!$E$2:$E$17,MATCH(B497,Employees!$A$2:$A$17,0))</f>
        <v>120.69999999999999</v>
      </c>
    </row>
    <row r="498" spans="1:13" ht="18" x14ac:dyDescent="0.2">
      <c r="A498" s="17">
        <v>1384</v>
      </c>
      <c r="B498" s="17">
        <v>24</v>
      </c>
      <c r="C498" s="17" t="s">
        <v>454</v>
      </c>
      <c r="D498" s="17" t="s">
        <v>791</v>
      </c>
      <c r="E498" s="17" t="s">
        <v>795</v>
      </c>
      <c r="F498" s="17">
        <v>229</v>
      </c>
      <c r="G498" s="17">
        <v>7.7</v>
      </c>
      <c r="H498" s="17" t="str">
        <f>INDEX(Employees!$B$2:$B$17,MATCH(B498,Employees!$A$2:$A$17,0))</f>
        <v>Dakota</v>
      </c>
      <c r="I498" s="17" t="str">
        <f>INDEX(Employees!$C$2:$C$17,MATCH(B498,Employees!$A$2:$A$17,0))</f>
        <v>Forklift Operator</v>
      </c>
      <c r="J498" s="25">
        <f t="shared" si="14"/>
        <v>29.740259740259738</v>
      </c>
      <c r="K498" s="19">
        <f>IF(J498=0,0,J498/INDEX('Labor Dashboard'!$C$36:$C$39,MATCH(E498,'Labor Dashboard'!$B$36:$B$39,0)))</f>
        <v>0.9913419913419913</v>
      </c>
      <c r="L498" s="18">
        <f t="shared" si="15"/>
        <v>7</v>
      </c>
      <c r="M498" s="20">
        <f>G498*INDEX(Employees!$E$2:$E$17,MATCH(B498,Employees!$A$2:$A$17,0))</f>
        <v>150.15</v>
      </c>
    </row>
    <row r="499" spans="1:13" ht="18" x14ac:dyDescent="0.2">
      <c r="A499" s="17">
        <v>1385</v>
      </c>
      <c r="B499" s="17">
        <v>25</v>
      </c>
      <c r="C499" s="17" t="s">
        <v>454</v>
      </c>
      <c r="D499" s="17" t="s">
        <v>791</v>
      </c>
      <c r="E499" s="17" t="s">
        <v>795</v>
      </c>
      <c r="F499" s="17">
        <v>201</v>
      </c>
      <c r="G499" s="17">
        <v>6.7</v>
      </c>
      <c r="H499" s="17" t="str">
        <f>INDEX(Employees!$B$2:$B$17,MATCH(B499,Employees!$A$2:$A$17,0))</f>
        <v>Hayden</v>
      </c>
      <c r="I499" s="17" t="str">
        <f>INDEX(Employees!$C$2:$C$17,MATCH(B499,Employees!$A$2:$A$17,0))</f>
        <v>Forklift Operator</v>
      </c>
      <c r="J499" s="25">
        <f t="shared" si="14"/>
        <v>30</v>
      </c>
      <c r="K499" s="19">
        <f>IF(J499=0,0,J499/INDEX('Labor Dashboard'!$C$36:$C$39,MATCH(E499,'Labor Dashboard'!$B$36:$B$39,0)))</f>
        <v>1</v>
      </c>
      <c r="L499" s="18">
        <f t="shared" si="15"/>
        <v>7</v>
      </c>
      <c r="M499" s="20">
        <f>G499*INDEX(Employees!$E$2:$E$17,MATCH(B499,Employees!$A$2:$A$17,0))</f>
        <v>130.65</v>
      </c>
    </row>
    <row r="500" spans="1:13" ht="18" x14ac:dyDescent="0.2">
      <c r="A500" s="17">
        <v>1386</v>
      </c>
      <c r="B500" s="17">
        <v>26</v>
      </c>
      <c r="C500" s="17" t="s">
        <v>454</v>
      </c>
      <c r="D500" s="17" t="s">
        <v>793</v>
      </c>
      <c r="E500" s="17" t="s">
        <v>795</v>
      </c>
      <c r="F500" s="17">
        <v>213</v>
      </c>
      <c r="G500" s="17">
        <v>8</v>
      </c>
      <c r="H500" s="17" t="str">
        <f>INDEX(Employees!$B$2:$B$17,MATCH(B500,Employees!$A$2:$A$17,0))</f>
        <v>Reese</v>
      </c>
      <c r="I500" s="17" t="str">
        <f>INDEX(Employees!$C$2:$C$17,MATCH(B500,Employees!$A$2:$A$17,0))</f>
        <v>Receiving Clerk</v>
      </c>
      <c r="J500" s="25">
        <f t="shared" si="14"/>
        <v>26.625</v>
      </c>
      <c r="K500" s="19">
        <f>IF(J500=0,0,J500/INDEX('Labor Dashboard'!$C$36:$C$39,MATCH(E500,'Labor Dashboard'!$B$36:$B$39,0)))</f>
        <v>0.88749999999999996</v>
      </c>
      <c r="L500" s="18">
        <f t="shared" si="15"/>
        <v>7</v>
      </c>
      <c r="M500" s="20">
        <f>G500*INDEX(Employees!$E$2:$E$17,MATCH(B500,Employees!$A$2:$A$17,0))</f>
        <v>144</v>
      </c>
    </row>
    <row r="501" spans="1:13" ht="18" x14ac:dyDescent="0.2">
      <c r="A501" s="17">
        <v>1387</v>
      </c>
      <c r="B501" s="17">
        <v>27</v>
      </c>
      <c r="C501" s="17" t="s">
        <v>454</v>
      </c>
      <c r="D501" s="17" t="s">
        <v>791</v>
      </c>
      <c r="E501" s="17" t="s">
        <v>795</v>
      </c>
      <c r="F501" s="17">
        <v>180</v>
      </c>
      <c r="G501" s="17">
        <v>6.9</v>
      </c>
      <c r="H501" s="17" t="str">
        <f>INDEX(Employees!$B$2:$B$17,MATCH(B501,Employees!$A$2:$A$17,0))</f>
        <v>Skyler</v>
      </c>
      <c r="I501" s="17" t="str">
        <f>INDEX(Employees!$C$2:$C$17,MATCH(B501,Employees!$A$2:$A$17,0))</f>
        <v>Receiving Clerk</v>
      </c>
      <c r="J501" s="25">
        <f t="shared" si="14"/>
        <v>26.086956521739129</v>
      </c>
      <c r="K501" s="19">
        <f>IF(J501=0,0,J501/INDEX('Labor Dashboard'!$C$36:$C$39,MATCH(E501,'Labor Dashboard'!$B$36:$B$39,0)))</f>
        <v>0.86956521739130432</v>
      </c>
      <c r="L501" s="18">
        <f t="shared" si="15"/>
        <v>7</v>
      </c>
      <c r="M501" s="20">
        <f>G501*INDEX(Employees!$E$2:$E$17,MATCH(B501,Employees!$A$2:$A$17,0))</f>
        <v>124.2</v>
      </c>
    </row>
    <row r="502" spans="1:13" ht="18" x14ac:dyDescent="0.2">
      <c r="A502" s="17">
        <v>1388</v>
      </c>
      <c r="B502" s="17">
        <v>29</v>
      </c>
      <c r="C502" s="17" t="s">
        <v>454</v>
      </c>
      <c r="D502" s="17" t="s">
        <v>791</v>
      </c>
      <c r="E502" s="17" t="s">
        <v>796</v>
      </c>
      <c r="F502" s="17">
        <v>215</v>
      </c>
      <c r="G502" s="17">
        <v>7.9</v>
      </c>
      <c r="H502" s="17" t="str">
        <f>INDEX(Employees!$B$2:$B$17,MATCH(B502,Employees!$A$2:$A$17,0))</f>
        <v>Rowan</v>
      </c>
      <c r="I502" s="17" t="str">
        <f>INDEX(Employees!$C$2:$C$17,MATCH(B502,Employees!$A$2:$A$17,0))</f>
        <v>Cycle Counter</v>
      </c>
      <c r="J502" s="25">
        <f t="shared" si="14"/>
        <v>27.215189873417721</v>
      </c>
      <c r="K502" s="19">
        <f>IF(J502=0,0,J502/INDEX('Labor Dashboard'!$C$36:$C$39,MATCH(E502,'Labor Dashboard'!$B$36:$B$39,0)))</f>
        <v>1.0886075949367089</v>
      </c>
      <c r="L502" s="18">
        <f t="shared" si="15"/>
        <v>7</v>
      </c>
      <c r="M502" s="20">
        <f>G502*INDEX(Employees!$E$2:$E$17,MATCH(B502,Employees!$A$2:$A$17,0))</f>
        <v>142.20000000000002</v>
      </c>
    </row>
    <row r="503" spans="1:13" ht="18" x14ac:dyDescent="0.2">
      <c r="A503" s="17">
        <v>1389</v>
      </c>
      <c r="B503" s="17">
        <v>30</v>
      </c>
      <c r="C503" s="17" t="s">
        <v>454</v>
      </c>
      <c r="D503" s="17" t="s">
        <v>793</v>
      </c>
      <c r="E503" s="17" t="s">
        <v>796</v>
      </c>
      <c r="F503" s="17">
        <v>149</v>
      </c>
      <c r="G503" s="17">
        <v>7.2</v>
      </c>
      <c r="H503" s="17" t="str">
        <f>INDEX(Employees!$B$2:$B$17,MATCH(B503,Employees!$A$2:$A$17,0))</f>
        <v>Emerson</v>
      </c>
      <c r="I503" s="17" t="str">
        <f>INDEX(Employees!$C$2:$C$17,MATCH(B503,Employees!$A$2:$A$17,0))</f>
        <v>Shift Supervisor</v>
      </c>
      <c r="J503" s="25">
        <f t="shared" si="14"/>
        <v>20.694444444444443</v>
      </c>
      <c r="K503" s="19">
        <f>IF(J503=0,0,J503/INDEX('Labor Dashboard'!$C$36:$C$39,MATCH(E503,'Labor Dashboard'!$B$36:$B$39,0)))</f>
        <v>0.82777777777777772</v>
      </c>
      <c r="L503" s="18">
        <f t="shared" si="15"/>
        <v>7</v>
      </c>
      <c r="M503" s="20">
        <f>G503*INDEX(Employees!$E$2:$E$17,MATCH(B503,Employees!$A$2:$A$17,0))</f>
        <v>172.8</v>
      </c>
    </row>
    <row r="504" spans="1:13" ht="18" x14ac:dyDescent="0.2">
      <c r="A504" s="17">
        <v>1390</v>
      </c>
      <c r="B504" s="17">
        <v>31</v>
      </c>
      <c r="C504" s="17" t="s">
        <v>454</v>
      </c>
      <c r="D504" s="17" t="s">
        <v>793</v>
      </c>
      <c r="E504" s="17" t="s">
        <v>792</v>
      </c>
      <c r="F504" s="17">
        <v>430</v>
      </c>
      <c r="G504" s="17">
        <v>7.8</v>
      </c>
      <c r="H504" s="17" t="str">
        <f>INDEX(Employees!$B$2:$B$17,MATCH(B504,Employees!$A$2:$A$17,0))</f>
        <v>Finley</v>
      </c>
      <c r="I504" s="17" t="str">
        <f>INDEX(Employees!$C$2:$C$17,MATCH(B504,Employees!$A$2:$A$17,0))</f>
        <v>Shift Supervisor</v>
      </c>
      <c r="J504" s="25">
        <f t="shared" si="14"/>
        <v>55.128205128205131</v>
      </c>
      <c r="K504" s="19">
        <f>IF(J504=0,0,J504/INDEX('Labor Dashboard'!$C$36:$C$39,MATCH(E504,'Labor Dashboard'!$B$36:$B$39,0)))</f>
        <v>1.0023310023310024</v>
      </c>
      <c r="L504" s="18">
        <f t="shared" si="15"/>
        <v>7</v>
      </c>
      <c r="M504" s="20">
        <f>G504*INDEX(Employees!$E$2:$E$17,MATCH(B504,Employees!$A$2:$A$17,0))</f>
        <v>187.2</v>
      </c>
    </row>
    <row r="505" spans="1:13" ht="18" x14ac:dyDescent="0.2">
      <c r="A505" s="17">
        <v>1391</v>
      </c>
      <c r="B505" s="17">
        <v>32</v>
      </c>
      <c r="C505" s="17" t="s">
        <v>454</v>
      </c>
      <c r="D505" s="17" t="s">
        <v>793</v>
      </c>
      <c r="E505" s="17" t="s">
        <v>792</v>
      </c>
      <c r="F505" s="17">
        <v>339</v>
      </c>
      <c r="G505" s="17">
        <v>6.6</v>
      </c>
      <c r="H505" s="17" t="str">
        <f>INDEX(Employees!$B$2:$B$17,MATCH(B505,Employees!$A$2:$A$17,0))</f>
        <v>Sawyer</v>
      </c>
      <c r="I505" s="17" t="str">
        <f>INDEX(Employees!$C$2:$C$17,MATCH(B505,Employees!$A$2:$A$17,0))</f>
        <v>Shift Supervisor</v>
      </c>
      <c r="J505" s="25">
        <f t="shared" si="14"/>
        <v>51.363636363636367</v>
      </c>
      <c r="K505" s="19">
        <f>IF(J505=0,0,J505/INDEX('Labor Dashboard'!$C$36:$C$39,MATCH(E505,'Labor Dashboard'!$B$36:$B$39,0)))</f>
        <v>0.93388429752066127</v>
      </c>
      <c r="L505" s="18">
        <f t="shared" si="15"/>
        <v>7</v>
      </c>
      <c r="M505" s="20">
        <f>G505*INDEX(Employees!$E$2:$E$17,MATCH(B505,Employees!$A$2:$A$17,0))</f>
        <v>158.39999999999998</v>
      </c>
    </row>
    <row r="506" spans="1:13" ht="18" x14ac:dyDescent="0.2">
      <c r="A506" s="17">
        <v>1392</v>
      </c>
      <c r="B506" s="17">
        <v>17</v>
      </c>
      <c r="C506" s="17" t="s">
        <v>424</v>
      </c>
      <c r="D506" s="17" t="s">
        <v>791</v>
      </c>
      <c r="E506" s="17" t="s">
        <v>792</v>
      </c>
      <c r="F506" s="17">
        <v>351</v>
      </c>
      <c r="G506" s="17">
        <v>7.5</v>
      </c>
      <c r="H506" s="17" t="str">
        <f>INDEX(Employees!$B$2:$B$17,MATCH(B506,Employees!$A$2:$A$17,0))</f>
        <v>Jordan</v>
      </c>
      <c r="I506" s="17" t="str">
        <f>INDEX(Employees!$C$2:$C$17,MATCH(B506,Employees!$A$2:$A$17,0))</f>
        <v>Picker</v>
      </c>
      <c r="J506" s="25">
        <f t="shared" si="14"/>
        <v>46.8</v>
      </c>
      <c r="K506" s="19">
        <f>IF(J506=0,0,J506/INDEX('Labor Dashboard'!$C$36:$C$39,MATCH(E506,'Labor Dashboard'!$B$36:$B$39,0)))</f>
        <v>0.85090909090909084</v>
      </c>
      <c r="L506" s="18">
        <f t="shared" si="15"/>
        <v>7</v>
      </c>
      <c r="M506" s="20">
        <f>G506*INDEX(Employees!$E$2:$E$17,MATCH(B506,Employees!$A$2:$A$17,0))</f>
        <v>127.5</v>
      </c>
    </row>
    <row r="507" spans="1:13" ht="18" x14ac:dyDescent="0.2">
      <c r="A507" s="17">
        <v>1393</v>
      </c>
      <c r="B507" s="17">
        <v>18</v>
      </c>
      <c r="C507" s="17" t="s">
        <v>424</v>
      </c>
      <c r="D507" s="17" t="s">
        <v>791</v>
      </c>
      <c r="E507" s="17" t="s">
        <v>792</v>
      </c>
      <c r="F507" s="17">
        <v>364</v>
      </c>
      <c r="G507" s="17">
        <v>6.8</v>
      </c>
      <c r="H507" s="17" t="str">
        <f>INDEX(Employees!$B$2:$B$17,MATCH(B507,Employees!$A$2:$A$17,0))</f>
        <v>Casey</v>
      </c>
      <c r="I507" s="17" t="str">
        <f>INDEX(Employees!$C$2:$C$17,MATCH(B507,Employees!$A$2:$A$17,0))</f>
        <v>Picker</v>
      </c>
      <c r="J507" s="25">
        <f t="shared" si="14"/>
        <v>53.529411764705884</v>
      </c>
      <c r="K507" s="19">
        <f>IF(J507=0,0,J507/INDEX('Labor Dashboard'!$C$36:$C$39,MATCH(E507,'Labor Dashboard'!$B$36:$B$39,0)))</f>
        <v>0.9732620320855615</v>
      </c>
      <c r="L507" s="18">
        <f t="shared" si="15"/>
        <v>7</v>
      </c>
      <c r="M507" s="20">
        <f>G507*INDEX(Employees!$E$2:$E$17,MATCH(B507,Employees!$A$2:$A$17,0))</f>
        <v>115.6</v>
      </c>
    </row>
    <row r="508" spans="1:13" ht="18" x14ac:dyDescent="0.2">
      <c r="A508" s="17">
        <v>1394</v>
      </c>
      <c r="B508" s="17">
        <v>19</v>
      </c>
      <c r="C508" s="17" t="s">
        <v>424</v>
      </c>
      <c r="D508" s="17" t="s">
        <v>791</v>
      </c>
      <c r="E508" s="17" t="s">
        <v>792</v>
      </c>
      <c r="F508" s="17">
        <v>392</v>
      </c>
      <c r="G508" s="17">
        <v>7.4</v>
      </c>
      <c r="H508" s="17" t="str">
        <f>INDEX(Employees!$B$2:$B$17,MATCH(B508,Employees!$A$2:$A$17,0))</f>
        <v>Morgan</v>
      </c>
      <c r="I508" s="17" t="str">
        <f>INDEX(Employees!$C$2:$C$17,MATCH(B508,Employees!$A$2:$A$17,0))</f>
        <v>Picker</v>
      </c>
      <c r="J508" s="25">
        <f t="shared" si="14"/>
        <v>52.972972972972968</v>
      </c>
      <c r="K508" s="19">
        <f>IF(J508=0,0,J508/INDEX('Labor Dashboard'!$C$36:$C$39,MATCH(E508,'Labor Dashboard'!$B$36:$B$39,0)))</f>
        <v>0.96314496314496301</v>
      </c>
      <c r="L508" s="18">
        <f t="shared" si="15"/>
        <v>7</v>
      </c>
      <c r="M508" s="20">
        <f>G508*INDEX(Employees!$E$2:$E$17,MATCH(B508,Employees!$A$2:$A$17,0))</f>
        <v>125.80000000000001</v>
      </c>
    </row>
    <row r="509" spans="1:13" ht="18" x14ac:dyDescent="0.2">
      <c r="A509" s="17">
        <v>1395</v>
      </c>
      <c r="B509" s="17">
        <v>20</v>
      </c>
      <c r="C509" s="17" t="s">
        <v>424</v>
      </c>
      <c r="D509" s="17" t="s">
        <v>793</v>
      </c>
      <c r="E509" s="17" t="s">
        <v>792</v>
      </c>
      <c r="F509" s="17">
        <v>421</v>
      </c>
      <c r="G509" s="17">
        <v>7.7</v>
      </c>
      <c r="H509" s="17" t="str">
        <f>INDEX(Employees!$B$2:$B$17,MATCH(B509,Employees!$A$2:$A$17,0))</f>
        <v>Taylor</v>
      </c>
      <c r="I509" s="17" t="str">
        <f>INDEX(Employees!$C$2:$C$17,MATCH(B509,Employees!$A$2:$A$17,0))</f>
        <v>Picker</v>
      </c>
      <c r="J509" s="25">
        <f t="shared" si="14"/>
        <v>54.675324675324674</v>
      </c>
      <c r="K509" s="19">
        <f>IF(J509=0,0,J509/INDEX('Labor Dashboard'!$C$36:$C$39,MATCH(E509,'Labor Dashboard'!$B$36:$B$39,0)))</f>
        <v>0.99409681227863045</v>
      </c>
      <c r="L509" s="18">
        <f t="shared" si="15"/>
        <v>7</v>
      </c>
      <c r="M509" s="20">
        <f>G509*INDEX(Employees!$E$2:$E$17,MATCH(B509,Employees!$A$2:$A$17,0))</f>
        <v>130.9</v>
      </c>
    </row>
    <row r="510" spans="1:13" ht="18" x14ac:dyDescent="0.2">
      <c r="A510" s="17">
        <v>1396</v>
      </c>
      <c r="B510" s="17">
        <v>21</v>
      </c>
      <c r="C510" s="17" t="s">
        <v>424</v>
      </c>
      <c r="D510" s="17" t="s">
        <v>793</v>
      </c>
      <c r="E510" s="17" t="s">
        <v>794</v>
      </c>
      <c r="F510" s="17">
        <v>254</v>
      </c>
      <c r="G510" s="17">
        <v>6.6</v>
      </c>
      <c r="H510" s="17" t="str">
        <f>INDEX(Employees!$B$2:$B$17,MATCH(B510,Employees!$A$2:$A$17,0))</f>
        <v>Riley</v>
      </c>
      <c r="I510" s="17" t="str">
        <f>INDEX(Employees!$C$2:$C$17,MATCH(B510,Employees!$A$2:$A$17,0))</f>
        <v>Packer</v>
      </c>
      <c r="J510" s="25">
        <f t="shared" si="14"/>
        <v>38.484848484848484</v>
      </c>
      <c r="K510" s="19">
        <f>IF(J510=0,0,J510/INDEX('Labor Dashboard'!$C$36:$C$39,MATCH(E510,'Labor Dashboard'!$B$36:$B$39,0)))</f>
        <v>0.85521885521885521</v>
      </c>
      <c r="L510" s="18">
        <f t="shared" si="15"/>
        <v>7</v>
      </c>
      <c r="M510" s="20">
        <f>G510*INDEX(Employees!$E$2:$E$17,MATCH(B510,Employees!$A$2:$A$17,0))</f>
        <v>112.19999999999999</v>
      </c>
    </row>
    <row r="511" spans="1:13" ht="18" x14ac:dyDescent="0.2">
      <c r="A511" s="17">
        <v>1397</v>
      </c>
      <c r="B511" s="17">
        <v>22</v>
      </c>
      <c r="C511" s="17" t="s">
        <v>424</v>
      </c>
      <c r="D511" s="17" t="s">
        <v>791</v>
      </c>
      <c r="E511" s="17" t="s">
        <v>794</v>
      </c>
      <c r="F511" s="17">
        <v>409</v>
      </c>
      <c r="G511" s="17">
        <v>7.6</v>
      </c>
      <c r="H511" s="17" t="str">
        <f>INDEX(Employees!$B$2:$B$17,MATCH(B511,Employees!$A$2:$A$17,0))</f>
        <v>Avery</v>
      </c>
      <c r="I511" s="17" t="str">
        <f>INDEX(Employees!$C$2:$C$17,MATCH(B511,Employees!$A$2:$A$17,0))</f>
        <v>Packer</v>
      </c>
      <c r="J511" s="25">
        <f t="shared" si="14"/>
        <v>53.815789473684212</v>
      </c>
      <c r="K511" s="19">
        <f>IF(J511=0,0,J511/INDEX('Labor Dashboard'!$C$36:$C$39,MATCH(E511,'Labor Dashboard'!$B$36:$B$39,0)))</f>
        <v>1.195906432748538</v>
      </c>
      <c r="L511" s="18">
        <f t="shared" si="15"/>
        <v>7</v>
      </c>
      <c r="M511" s="20">
        <f>G511*INDEX(Employees!$E$2:$E$17,MATCH(B511,Employees!$A$2:$A$17,0))</f>
        <v>129.19999999999999</v>
      </c>
    </row>
    <row r="512" spans="1:13" ht="18" x14ac:dyDescent="0.2">
      <c r="A512" s="17">
        <v>1398</v>
      </c>
      <c r="B512" s="17">
        <v>24</v>
      </c>
      <c r="C512" s="17" t="s">
        <v>424</v>
      </c>
      <c r="D512" s="17" t="s">
        <v>793</v>
      </c>
      <c r="E512" s="17" t="s">
        <v>792</v>
      </c>
      <c r="F512" s="17">
        <v>379</v>
      </c>
      <c r="G512" s="17">
        <v>7.2</v>
      </c>
      <c r="H512" s="17" t="str">
        <f>INDEX(Employees!$B$2:$B$17,MATCH(B512,Employees!$A$2:$A$17,0))</f>
        <v>Dakota</v>
      </c>
      <c r="I512" s="17" t="str">
        <f>INDEX(Employees!$C$2:$C$17,MATCH(B512,Employees!$A$2:$A$17,0))</f>
        <v>Forklift Operator</v>
      </c>
      <c r="J512" s="25">
        <f t="shared" si="14"/>
        <v>52.638888888888886</v>
      </c>
      <c r="K512" s="19">
        <f>IF(J512=0,0,J512/INDEX('Labor Dashboard'!$C$36:$C$39,MATCH(E512,'Labor Dashboard'!$B$36:$B$39,0)))</f>
        <v>0.95707070707070696</v>
      </c>
      <c r="L512" s="18">
        <f t="shared" si="15"/>
        <v>7</v>
      </c>
      <c r="M512" s="20">
        <f>G512*INDEX(Employees!$E$2:$E$17,MATCH(B512,Employees!$A$2:$A$17,0))</f>
        <v>140.4</v>
      </c>
    </row>
    <row r="513" spans="1:13" ht="18" x14ac:dyDescent="0.2">
      <c r="A513" s="17">
        <v>1399</v>
      </c>
      <c r="B513" s="17">
        <v>25</v>
      </c>
      <c r="C513" s="17" t="s">
        <v>424</v>
      </c>
      <c r="D513" s="17" t="s">
        <v>791</v>
      </c>
      <c r="E513" s="17" t="s">
        <v>795</v>
      </c>
      <c r="F513" s="17">
        <v>216</v>
      </c>
      <c r="G513" s="17">
        <v>6.7</v>
      </c>
      <c r="H513" s="17" t="str">
        <f>INDEX(Employees!$B$2:$B$17,MATCH(B513,Employees!$A$2:$A$17,0))</f>
        <v>Hayden</v>
      </c>
      <c r="I513" s="17" t="str">
        <f>INDEX(Employees!$C$2:$C$17,MATCH(B513,Employees!$A$2:$A$17,0))</f>
        <v>Forklift Operator</v>
      </c>
      <c r="J513" s="25">
        <f t="shared" si="14"/>
        <v>32.238805970149251</v>
      </c>
      <c r="K513" s="19">
        <f>IF(J513=0,0,J513/INDEX('Labor Dashboard'!$C$36:$C$39,MATCH(E513,'Labor Dashboard'!$B$36:$B$39,0)))</f>
        <v>1.0746268656716418</v>
      </c>
      <c r="L513" s="18">
        <f t="shared" si="15"/>
        <v>7</v>
      </c>
      <c r="M513" s="20">
        <f>G513*INDEX(Employees!$E$2:$E$17,MATCH(B513,Employees!$A$2:$A$17,0))</f>
        <v>130.65</v>
      </c>
    </row>
    <row r="514" spans="1:13" ht="18" x14ac:dyDescent="0.2">
      <c r="A514" s="17">
        <v>1400</v>
      </c>
      <c r="B514" s="17">
        <v>26</v>
      </c>
      <c r="C514" s="17" t="s">
        <v>424</v>
      </c>
      <c r="D514" s="17" t="s">
        <v>793</v>
      </c>
      <c r="E514" s="17" t="s">
        <v>795</v>
      </c>
      <c r="F514" s="17">
        <v>207</v>
      </c>
      <c r="G514" s="17">
        <v>7.7</v>
      </c>
      <c r="H514" s="17" t="str">
        <f>INDEX(Employees!$B$2:$B$17,MATCH(B514,Employees!$A$2:$A$17,0))</f>
        <v>Reese</v>
      </c>
      <c r="I514" s="17" t="str">
        <f>INDEX(Employees!$C$2:$C$17,MATCH(B514,Employees!$A$2:$A$17,0))</f>
        <v>Receiving Clerk</v>
      </c>
      <c r="J514" s="25">
        <f t="shared" ref="J514:J577" si="16">IF(G514=0,0,F514/G514)</f>
        <v>26.883116883116884</v>
      </c>
      <c r="K514" s="19">
        <f>IF(J514=0,0,J514/INDEX('Labor Dashboard'!$C$36:$C$39,MATCH(E514,'Labor Dashboard'!$B$36:$B$39,0)))</f>
        <v>0.89610389610389618</v>
      </c>
      <c r="L514" s="18">
        <f t="shared" ref="L514:L577" si="17">INT((DATEVALUE(C514)-DATE(2026,4,6))/7)</f>
        <v>7</v>
      </c>
      <c r="M514" s="20">
        <f>G514*INDEX(Employees!$E$2:$E$17,MATCH(B514,Employees!$A$2:$A$17,0))</f>
        <v>138.6</v>
      </c>
    </row>
    <row r="515" spans="1:13" ht="18" x14ac:dyDescent="0.2">
      <c r="A515" s="17">
        <v>1401</v>
      </c>
      <c r="B515" s="17">
        <v>27</v>
      </c>
      <c r="C515" s="17" t="s">
        <v>424</v>
      </c>
      <c r="D515" s="17" t="s">
        <v>791</v>
      </c>
      <c r="E515" s="17" t="s">
        <v>795</v>
      </c>
      <c r="F515" s="17">
        <v>195</v>
      </c>
      <c r="G515" s="17">
        <v>8</v>
      </c>
      <c r="H515" s="17" t="str">
        <f>INDEX(Employees!$B$2:$B$17,MATCH(B515,Employees!$A$2:$A$17,0))</f>
        <v>Skyler</v>
      </c>
      <c r="I515" s="17" t="str">
        <f>INDEX(Employees!$C$2:$C$17,MATCH(B515,Employees!$A$2:$A$17,0))</f>
        <v>Receiving Clerk</v>
      </c>
      <c r="J515" s="25">
        <f t="shared" si="16"/>
        <v>24.375</v>
      </c>
      <c r="K515" s="19">
        <f>IF(J515=0,0,J515/INDEX('Labor Dashboard'!$C$36:$C$39,MATCH(E515,'Labor Dashboard'!$B$36:$B$39,0)))</f>
        <v>0.8125</v>
      </c>
      <c r="L515" s="18">
        <f t="shared" si="17"/>
        <v>7</v>
      </c>
      <c r="M515" s="20">
        <f>G515*INDEX(Employees!$E$2:$E$17,MATCH(B515,Employees!$A$2:$A$17,0))</f>
        <v>144</v>
      </c>
    </row>
    <row r="516" spans="1:13" ht="18" x14ac:dyDescent="0.2">
      <c r="A516" s="17">
        <v>1402</v>
      </c>
      <c r="B516" s="17">
        <v>28</v>
      </c>
      <c r="C516" s="17" t="s">
        <v>424</v>
      </c>
      <c r="D516" s="17" t="s">
        <v>791</v>
      </c>
      <c r="E516" s="17" t="s">
        <v>796</v>
      </c>
      <c r="F516" s="17">
        <v>184</v>
      </c>
      <c r="G516" s="17">
        <v>7.8</v>
      </c>
      <c r="H516" s="17" t="str">
        <f>INDEX(Employees!$B$2:$B$17,MATCH(B516,Employees!$A$2:$A$17,0))</f>
        <v>Peyton</v>
      </c>
      <c r="I516" s="17" t="str">
        <f>INDEX(Employees!$C$2:$C$17,MATCH(B516,Employees!$A$2:$A$17,0))</f>
        <v>Cycle Counter</v>
      </c>
      <c r="J516" s="25">
        <f t="shared" si="16"/>
        <v>23.589743589743591</v>
      </c>
      <c r="K516" s="19">
        <f>IF(J516=0,0,J516/INDEX('Labor Dashboard'!$C$36:$C$39,MATCH(E516,'Labor Dashboard'!$B$36:$B$39,0)))</f>
        <v>0.94358974358974368</v>
      </c>
      <c r="L516" s="18">
        <f t="shared" si="17"/>
        <v>7</v>
      </c>
      <c r="M516" s="20">
        <f>G516*INDEX(Employees!$E$2:$E$17,MATCH(B516,Employees!$A$2:$A$17,0))</f>
        <v>140.4</v>
      </c>
    </row>
    <row r="517" spans="1:13" ht="18" x14ac:dyDescent="0.2">
      <c r="A517" s="17">
        <v>1403</v>
      </c>
      <c r="B517" s="17">
        <v>29</v>
      </c>
      <c r="C517" s="17" t="s">
        <v>424</v>
      </c>
      <c r="D517" s="17" t="s">
        <v>791</v>
      </c>
      <c r="E517" s="17" t="s">
        <v>796</v>
      </c>
      <c r="F517" s="17">
        <v>209</v>
      </c>
      <c r="G517" s="17">
        <v>7.4</v>
      </c>
      <c r="H517" s="17" t="str">
        <f>INDEX(Employees!$B$2:$B$17,MATCH(B517,Employees!$A$2:$A$17,0))</f>
        <v>Rowan</v>
      </c>
      <c r="I517" s="17" t="str">
        <f>INDEX(Employees!$C$2:$C$17,MATCH(B517,Employees!$A$2:$A$17,0))</f>
        <v>Cycle Counter</v>
      </c>
      <c r="J517" s="25">
        <f t="shared" si="16"/>
        <v>28.243243243243242</v>
      </c>
      <c r="K517" s="19">
        <f>IF(J517=0,0,J517/INDEX('Labor Dashboard'!$C$36:$C$39,MATCH(E517,'Labor Dashboard'!$B$36:$B$39,0)))</f>
        <v>1.1297297297297297</v>
      </c>
      <c r="L517" s="18">
        <f t="shared" si="17"/>
        <v>7</v>
      </c>
      <c r="M517" s="20">
        <f>G517*INDEX(Employees!$E$2:$E$17,MATCH(B517,Employees!$A$2:$A$17,0))</f>
        <v>133.20000000000002</v>
      </c>
    </row>
    <row r="518" spans="1:13" ht="18" x14ac:dyDescent="0.2">
      <c r="A518" s="17">
        <v>1404</v>
      </c>
      <c r="B518" s="17">
        <v>30</v>
      </c>
      <c r="C518" s="17" t="s">
        <v>424</v>
      </c>
      <c r="D518" s="17" t="s">
        <v>791</v>
      </c>
      <c r="E518" s="17" t="s">
        <v>794</v>
      </c>
      <c r="F518" s="17">
        <v>304</v>
      </c>
      <c r="G518" s="17">
        <v>8.1</v>
      </c>
      <c r="H518" s="17" t="str">
        <f>INDEX(Employees!$B$2:$B$17,MATCH(B518,Employees!$A$2:$A$17,0))</f>
        <v>Emerson</v>
      </c>
      <c r="I518" s="17" t="str">
        <f>INDEX(Employees!$C$2:$C$17,MATCH(B518,Employees!$A$2:$A$17,0))</f>
        <v>Shift Supervisor</v>
      </c>
      <c r="J518" s="25">
        <f t="shared" si="16"/>
        <v>37.530864197530867</v>
      </c>
      <c r="K518" s="19">
        <f>IF(J518=0,0,J518/INDEX('Labor Dashboard'!$C$36:$C$39,MATCH(E518,'Labor Dashboard'!$B$36:$B$39,0)))</f>
        <v>0.83401920438957489</v>
      </c>
      <c r="L518" s="18">
        <f t="shared" si="17"/>
        <v>7</v>
      </c>
      <c r="M518" s="20">
        <f>G518*INDEX(Employees!$E$2:$E$17,MATCH(B518,Employees!$A$2:$A$17,0))</f>
        <v>194.39999999999998</v>
      </c>
    </row>
    <row r="519" spans="1:13" ht="18" x14ac:dyDescent="0.2">
      <c r="A519" s="17">
        <v>1405</v>
      </c>
      <c r="B519" s="17">
        <v>31</v>
      </c>
      <c r="C519" s="17" t="s">
        <v>424</v>
      </c>
      <c r="D519" s="17" t="s">
        <v>793</v>
      </c>
      <c r="E519" s="17" t="s">
        <v>795</v>
      </c>
      <c r="F519" s="17">
        <v>290</v>
      </c>
      <c r="G519" s="17">
        <v>8.3000000000000007</v>
      </c>
      <c r="H519" s="17" t="str">
        <f>INDEX(Employees!$B$2:$B$17,MATCH(B519,Employees!$A$2:$A$17,0))</f>
        <v>Finley</v>
      </c>
      <c r="I519" s="17" t="str">
        <f>INDEX(Employees!$C$2:$C$17,MATCH(B519,Employees!$A$2:$A$17,0))</f>
        <v>Shift Supervisor</v>
      </c>
      <c r="J519" s="25">
        <f t="shared" si="16"/>
        <v>34.939759036144572</v>
      </c>
      <c r="K519" s="19">
        <f>IF(J519=0,0,J519/INDEX('Labor Dashboard'!$C$36:$C$39,MATCH(E519,'Labor Dashboard'!$B$36:$B$39,0)))</f>
        <v>1.1646586345381524</v>
      </c>
      <c r="L519" s="18">
        <f t="shared" si="17"/>
        <v>7</v>
      </c>
      <c r="M519" s="20">
        <f>G519*INDEX(Employees!$E$2:$E$17,MATCH(B519,Employees!$A$2:$A$17,0))</f>
        <v>199.20000000000002</v>
      </c>
    </row>
    <row r="520" spans="1:13" ht="18" x14ac:dyDescent="0.2">
      <c r="A520" s="17">
        <v>1406</v>
      </c>
      <c r="B520" s="17">
        <v>17</v>
      </c>
      <c r="C520" s="17" t="s">
        <v>445</v>
      </c>
      <c r="D520" s="17" t="s">
        <v>793</v>
      </c>
      <c r="E520" s="17" t="s">
        <v>792</v>
      </c>
      <c r="F520" s="17">
        <v>356</v>
      </c>
      <c r="G520" s="17">
        <v>6.8</v>
      </c>
      <c r="H520" s="17" t="str">
        <f>INDEX(Employees!$B$2:$B$17,MATCH(B520,Employees!$A$2:$A$17,0))</f>
        <v>Jordan</v>
      </c>
      <c r="I520" s="17" t="str">
        <f>INDEX(Employees!$C$2:$C$17,MATCH(B520,Employees!$A$2:$A$17,0))</f>
        <v>Picker</v>
      </c>
      <c r="J520" s="25">
        <f t="shared" si="16"/>
        <v>52.352941176470587</v>
      </c>
      <c r="K520" s="19">
        <f>IF(J520=0,0,J520/INDEX('Labor Dashboard'!$C$36:$C$39,MATCH(E520,'Labor Dashboard'!$B$36:$B$39,0)))</f>
        <v>0.95187165775401072</v>
      </c>
      <c r="L520" s="18">
        <f t="shared" si="17"/>
        <v>7</v>
      </c>
      <c r="M520" s="20">
        <f>G520*INDEX(Employees!$E$2:$E$17,MATCH(B520,Employees!$A$2:$A$17,0))</f>
        <v>115.6</v>
      </c>
    </row>
    <row r="521" spans="1:13" ht="18" x14ac:dyDescent="0.2">
      <c r="A521" s="17">
        <v>1407</v>
      </c>
      <c r="B521" s="17">
        <v>18</v>
      </c>
      <c r="C521" s="17" t="s">
        <v>445</v>
      </c>
      <c r="D521" s="17" t="s">
        <v>793</v>
      </c>
      <c r="E521" s="17" t="s">
        <v>792</v>
      </c>
      <c r="F521" s="17">
        <v>465</v>
      </c>
      <c r="G521" s="17">
        <v>7.6</v>
      </c>
      <c r="H521" s="17" t="str">
        <f>INDEX(Employees!$B$2:$B$17,MATCH(B521,Employees!$A$2:$A$17,0))</f>
        <v>Casey</v>
      </c>
      <c r="I521" s="17" t="str">
        <f>INDEX(Employees!$C$2:$C$17,MATCH(B521,Employees!$A$2:$A$17,0))</f>
        <v>Picker</v>
      </c>
      <c r="J521" s="25">
        <f t="shared" si="16"/>
        <v>61.184210526315795</v>
      </c>
      <c r="K521" s="19">
        <f>IF(J521=0,0,J521/INDEX('Labor Dashboard'!$C$36:$C$39,MATCH(E521,'Labor Dashboard'!$B$36:$B$39,0)))</f>
        <v>1.1124401913875599</v>
      </c>
      <c r="L521" s="18">
        <f t="shared" si="17"/>
        <v>7</v>
      </c>
      <c r="M521" s="20">
        <f>G521*INDEX(Employees!$E$2:$E$17,MATCH(B521,Employees!$A$2:$A$17,0))</f>
        <v>129.19999999999999</v>
      </c>
    </row>
    <row r="522" spans="1:13" ht="18" x14ac:dyDescent="0.2">
      <c r="A522" s="17">
        <v>1408</v>
      </c>
      <c r="B522" s="17">
        <v>19</v>
      </c>
      <c r="C522" s="17" t="s">
        <v>445</v>
      </c>
      <c r="D522" s="17" t="s">
        <v>793</v>
      </c>
      <c r="E522" s="17" t="s">
        <v>792</v>
      </c>
      <c r="F522" s="17">
        <v>441</v>
      </c>
      <c r="G522" s="17">
        <v>8.1</v>
      </c>
      <c r="H522" s="17" t="str">
        <f>INDEX(Employees!$B$2:$B$17,MATCH(B522,Employees!$A$2:$A$17,0))</f>
        <v>Morgan</v>
      </c>
      <c r="I522" s="17" t="str">
        <f>INDEX(Employees!$C$2:$C$17,MATCH(B522,Employees!$A$2:$A$17,0))</f>
        <v>Picker</v>
      </c>
      <c r="J522" s="25">
        <f t="shared" si="16"/>
        <v>54.44444444444445</v>
      </c>
      <c r="K522" s="19">
        <f>IF(J522=0,0,J522/INDEX('Labor Dashboard'!$C$36:$C$39,MATCH(E522,'Labor Dashboard'!$B$36:$B$39,0)))</f>
        <v>0.98989898989898994</v>
      </c>
      <c r="L522" s="18">
        <f t="shared" si="17"/>
        <v>7</v>
      </c>
      <c r="M522" s="20">
        <f>G522*INDEX(Employees!$E$2:$E$17,MATCH(B522,Employees!$A$2:$A$17,0))</f>
        <v>137.69999999999999</v>
      </c>
    </row>
    <row r="523" spans="1:13" ht="18" x14ac:dyDescent="0.2">
      <c r="A523" s="17">
        <v>1409</v>
      </c>
      <c r="B523" s="17">
        <v>20</v>
      </c>
      <c r="C523" s="17" t="s">
        <v>445</v>
      </c>
      <c r="D523" s="17" t="s">
        <v>791</v>
      </c>
      <c r="E523" s="17" t="s">
        <v>792</v>
      </c>
      <c r="F523" s="17">
        <v>362</v>
      </c>
      <c r="G523" s="17">
        <v>6.6</v>
      </c>
      <c r="H523" s="17" t="str">
        <f>INDEX(Employees!$B$2:$B$17,MATCH(B523,Employees!$A$2:$A$17,0))</f>
        <v>Taylor</v>
      </c>
      <c r="I523" s="17" t="str">
        <f>INDEX(Employees!$C$2:$C$17,MATCH(B523,Employees!$A$2:$A$17,0))</f>
        <v>Picker</v>
      </c>
      <c r="J523" s="25">
        <f t="shared" si="16"/>
        <v>54.848484848484851</v>
      </c>
      <c r="K523" s="19">
        <f>IF(J523=0,0,J523/INDEX('Labor Dashboard'!$C$36:$C$39,MATCH(E523,'Labor Dashboard'!$B$36:$B$39,0)))</f>
        <v>0.99724517906336096</v>
      </c>
      <c r="L523" s="18">
        <f t="shared" si="17"/>
        <v>7</v>
      </c>
      <c r="M523" s="20">
        <f>G523*INDEX(Employees!$E$2:$E$17,MATCH(B523,Employees!$A$2:$A$17,0))</f>
        <v>112.19999999999999</v>
      </c>
    </row>
    <row r="524" spans="1:13" ht="18" x14ac:dyDescent="0.2">
      <c r="A524" s="17">
        <v>1410</v>
      </c>
      <c r="B524" s="17">
        <v>21</v>
      </c>
      <c r="C524" s="17" t="s">
        <v>445</v>
      </c>
      <c r="D524" s="17" t="s">
        <v>793</v>
      </c>
      <c r="E524" s="17" t="s">
        <v>794</v>
      </c>
      <c r="F524" s="17">
        <v>358</v>
      </c>
      <c r="G524" s="17">
        <v>8.3000000000000007</v>
      </c>
      <c r="H524" s="17" t="str">
        <f>INDEX(Employees!$B$2:$B$17,MATCH(B524,Employees!$A$2:$A$17,0))</f>
        <v>Riley</v>
      </c>
      <c r="I524" s="17" t="str">
        <f>INDEX(Employees!$C$2:$C$17,MATCH(B524,Employees!$A$2:$A$17,0))</f>
        <v>Packer</v>
      </c>
      <c r="J524" s="25">
        <f t="shared" si="16"/>
        <v>43.132530120481924</v>
      </c>
      <c r="K524" s="19">
        <f>IF(J524=0,0,J524/INDEX('Labor Dashboard'!$C$36:$C$39,MATCH(E524,'Labor Dashboard'!$B$36:$B$39,0)))</f>
        <v>0.95850066934404277</v>
      </c>
      <c r="L524" s="18">
        <f t="shared" si="17"/>
        <v>7</v>
      </c>
      <c r="M524" s="20">
        <f>G524*INDEX(Employees!$E$2:$E$17,MATCH(B524,Employees!$A$2:$A$17,0))</f>
        <v>141.10000000000002</v>
      </c>
    </row>
    <row r="525" spans="1:13" ht="18" x14ac:dyDescent="0.2">
      <c r="A525" s="17">
        <v>1411</v>
      </c>
      <c r="B525" s="17">
        <v>22</v>
      </c>
      <c r="C525" s="17" t="s">
        <v>445</v>
      </c>
      <c r="D525" s="17" t="s">
        <v>793</v>
      </c>
      <c r="E525" s="17" t="s">
        <v>794</v>
      </c>
      <c r="F525" s="17">
        <v>379</v>
      </c>
      <c r="G525" s="17">
        <v>8.1</v>
      </c>
      <c r="H525" s="17" t="str">
        <f>INDEX(Employees!$B$2:$B$17,MATCH(B525,Employees!$A$2:$A$17,0))</f>
        <v>Avery</v>
      </c>
      <c r="I525" s="17" t="str">
        <f>INDEX(Employees!$C$2:$C$17,MATCH(B525,Employees!$A$2:$A$17,0))</f>
        <v>Packer</v>
      </c>
      <c r="J525" s="25">
        <f t="shared" si="16"/>
        <v>46.790123456790127</v>
      </c>
      <c r="K525" s="19">
        <f>IF(J525=0,0,J525/INDEX('Labor Dashboard'!$C$36:$C$39,MATCH(E525,'Labor Dashboard'!$B$36:$B$39,0)))</f>
        <v>1.0397805212620028</v>
      </c>
      <c r="L525" s="18">
        <f t="shared" si="17"/>
        <v>7</v>
      </c>
      <c r="M525" s="20">
        <f>G525*INDEX(Employees!$E$2:$E$17,MATCH(B525,Employees!$A$2:$A$17,0))</f>
        <v>137.69999999999999</v>
      </c>
    </row>
    <row r="526" spans="1:13" ht="18" x14ac:dyDescent="0.2">
      <c r="A526" s="17">
        <v>1412</v>
      </c>
      <c r="B526" s="17">
        <v>23</v>
      </c>
      <c r="C526" s="17" t="s">
        <v>445</v>
      </c>
      <c r="D526" s="17" t="s">
        <v>791</v>
      </c>
      <c r="E526" s="17" t="s">
        <v>794</v>
      </c>
      <c r="F526" s="17">
        <v>356</v>
      </c>
      <c r="G526" s="17">
        <v>7.4</v>
      </c>
      <c r="H526" s="17" t="str">
        <f>INDEX(Employees!$B$2:$B$17,MATCH(B526,Employees!$A$2:$A$17,0))</f>
        <v>Cameron</v>
      </c>
      <c r="I526" s="17" t="str">
        <f>INDEX(Employees!$C$2:$C$17,MATCH(B526,Employees!$A$2:$A$17,0))</f>
        <v>Packer</v>
      </c>
      <c r="J526" s="25">
        <f t="shared" si="16"/>
        <v>48.108108108108105</v>
      </c>
      <c r="K526" s="19">
        <f>IF(J526=0,0,J526/INDEX('Labor Dashboard'!$C$36:$C$39,MATCH(E526,'Labor Dashboard'!$B$36:$B$39,0)))</f>
        <v>1.069069069069069</v>
      </c>
      <c r="L526" s="18">
        <f t="shared" si="17"/>
        <v>7</v>
      </c>
      <c r="M526" s="20">
        <f>G526*INDEX(Employees!$E$2:$E$17,MATCH(B526,Employees!$A$2:$A$17,0))</f>
        <v>125.80000000000001</v>
      </c>
    </row>
    <row r="527" spans="1:13" ht="18" x14ac:dyDescent="0.2">
      <c r="A527" s="17">
        <v>1413</v>
      </c>
      <c r="B527" s="17">
        <v>24</v>
      </c>
      <c r="C527" s="17" t="s">
        <v>445</v>
      </c>
      <c r="D527" s="17" t="s">
        <v>793</v>
      </c>
      <c r="E527" s="17" t="s">
        <v>792</v>
      </c>
      <c r="F527" s="17">
        <v>402</v>
      </c>
      <c r="G527" s="17">
        <v>7.4</v>
      </c>
      <c r="H527" s="17" t="str">
        <f>INDEX(Employees!$B$2:$B$17,MATCH(B527,Employees!$A$2:$A$17,0))</f>
        <v>Dakota</v>
      </c>
      <c r="I527" s="17" t="str">
        <f>INDEX(Employees!$C$2:$C$17,MATCH(B527,Employees!$A$2:$A$17,0))</f>
        <v>Forklift Operator</v>
      </c>
      <c r="J527" s="25">
        <f t="shared" si="16"/>
        <v>54.324324324324323</v>
      </c>
      <c r="K527" s="19">
        <f>IF(J527=0,0,J527/INDEX('Labor Dashboard'!$C$36:$C$39,MATCH(E527,'Labor Dashboard'!$B$36:$B$39,0)))</f>
        <v>0.98771498771498767</v>
      </c>
      <c r="L527" s="18">
        <f t="shared" si="17"/>
        <v>7</v>
      </c>
      <c r="M527" s="20">
        <f>G527*INDEX(Employees!$E$2:$E$17,MATCH(B527,Employees!$A$2:$A$17,0))</f>
        <v>144.30000000000001</v>
      </c>
    </row>
    <row r="528" spans="1:13" ht="18" x14ac:dyDescent="0.2">
      <c r="A528" s="17">
        <v>1414</v>
      </c>
      <c r="B528" s="17">
        <v>25</v>
      </c>
      <c r="C528" s="17" t="s">
        <v>445</v>
      </c>
      <c r="D528" s="17" t="s">
        <v>791</v>
      </c>
      <c r="E528" s="17" t="s">
        <v>792</v>
      </c>
      <c r="F528" s="17">
        <v>359</v>
      </c>
      <c r="G528" s="17">
        <v>6.6</v>
      </c>
      <c r="H528" s="17" t="str">
        <f>INDEX(Employees!$B$2:$B$17,MATCH(B528,Employees!$A$2:$A$17,0))</f>
        <v>Hayden</v>
      </c>
      <c r="I528" s="17" t="str">
        <f>INDEX(Employees!$C$2:$C$17,MATCH(B528,Employees!$A$2:$A$17,0))</f>
        <v>Forklift Operator</v>
      </c>
      <c r="J528" s="25">
        <f t="shared" si="16"/>
        <v>54.393939393939398</v>
      </c>
      <c r="K528" s="19">
        <f>IF(J528=0,0,J528/INDEX('Labor Dashboard'!$C$36:$C$39,MATCH(E528,'Labor Dashboard'!$B$36:$B$39,0)))</f>
        <v>0.98898071625344364</v>
      </c>
      <c r="L528" s="18">
        <f t="shared" si="17"/>
        <v>7</v>
      </c>
      <c r="M528" s="20">
        <f>G528*INDEX(Employees!$E$2:$E$17,MATCH(B528,Employees!$A$2:$A$17,0))</f>
        <v>128.69999999999999</v>
      </c>
    </row>
    <row r="529" spans="1:13" ht="18" x14ac:dyDescent="0.2">
      <c r="A529" s="17">
        <v>1415</v>
      </c>
      <c r="B529" s="17">
        <v>27</v>
      </c>
      <c r="C529" s="17" t="s">
        <v>445</v>
      </c>
      <c r="D529" s="17" t="s">
        <v>793</v>
      </c>
      <c r="E529" s="17" t="s">
        <v>795</v>
      </c>
      <c r="F529" s="17">
        <v>172</v>
      </c>
      <c r="G529" s="17">
        <v>6.6</v>
      </c>
      <c r="H529" s="17" t="str">
        <f>INDEX(Employees!$B$2:$B$17,MATCH(B529,Employees!$A$2:$A$17,0))</f>
        <v>Skyler</v>
      </c>
      <c r="I529" s="17" t="str">
        <f>INDEX(Employees!$C$2:$C$17,MATCH(B529,Employees!$A$2:$A$17,0))</f>
        <v>Receiving Clerk</v>
      </c>
      <c r="J529" s="25">
        <f t="shared" si="16"/>
        <v>26.060606060606062</v>
      </c>
      <c r="K529" s="19">
        <f>IF(J529=0,0,J529/INDEX('Labor Dashboard'!$C$36:$C$39,MATCH(E529,'Labor Dashboard'!$B$36:$B$39,0)))</f>
        <v>0.86868686868686873</v>
      </c>
      <c r="L529" s="18">
        <f t="shared" si="17"/>
        <v>7</v>
      </c>
      <c r="M529" s="20">
        <f>G529*INDEX(Employees!$E$2:$E$17,MATCH(B529,Employees!$A$2:$A$17,0))</f>
        <v>118.8</v>
      </c>
    </row>
    <row r="530" spans="1:13" ht="18" x14ac:dyDescent="0.2">
      <c r="A530" s="17">
        <v>1416</v>
      </c>
      <c r="B530" s="17">
        <v>30</v>
      </c>
      <c r="C530" s="17" t="s">
        <v>445</v>
      </c>
      <c r="D530" s="17" t="s">
        <v>793</v>
      </c>
      <c r="E530" s="17" t="s">
        <v>795</v>
      </c>
      <c r="F530" s="17">
        <v>193</v>
      </c>
      <c r="G530" s="17">
        <v>7.2</v>
      </c>
      <c r="H530" s="17" t="str">
        <f>INDEX(Employees!$B$2:$B$17,MATCH(B530,Employees!$A$2:$A$17,0))</f>
        <v>Emerson</v>
      </c>
      <c r="I530" s="17" t="str">
        <f>INDEX(Employees!$C$2:$C$17,MATCH(B530,Employees!$A$2:$A$17,0))</f>
        <v>Shift Supervisor</v>
      </c>
      <c r="J530" s="25">
        <f t="shared" si="16"/>
        <v>26.805555555555554</v>
      </c>
      <c r="K530" s="19">
        <f>IF(J530=0,0,J530/INDEX('Labor Dashboard'!$C$36:$C$39,MATCH(E530,'Labor Dashboard'!$B$36:$B$39,0)))</f>
        <v>0.89351851851851849</v>
      </c>
      <c r="L530" s="18">
        <f t="shared" si="17"/>
        <v>7</v>
      </c>
      <c r="M530" s="20">
        <f>G530*INDEX(Employees!$E$2:$E$17,MATCH(B530,Employees!$A$2:$A$17,0))</f>
        <v>172.8</v>
      </c>
    </row>
    <row r="531" spans="1:13" ht="18" x14ac:dyDescent="0.2">
      <c r="A531" s="17">
        <v>1417</v>
      </c>
      <c r="B531" s="17">
        <v>31</v>
      </c>
      <c r="C531" s="17" t="s">
        <v>445</v>
      </c>
      <c r="D531" s="17" t="s">
        <v>791</v>
      </c>
      <c r="E531" s="17" t="s">
        <v>796</v>
      </c>
      <c r="F531" s="17">
        <v>208</v>
      </c>
      <c r="G531" s="17">
        <v>7.9</v>
      </c>
      <c r="H531" s="17" t="str">
        <f>INDEX(Employees!$B$2:$B$17,MATCH(B531,Employees!$A$2:$A$17,0))</f>
        <v>Finley</v>
      </c>
      <c r="I531" s="17" t="str">
        <f>INDEX(Employees!$C$2:$C$17,MATCH(B531,Employees!$A$2:$A$17,0))</f>
        <v>Shift Supervisor</v>
      </c>
      <c r="J531" s="25">
        <f t="shared" si="16"/>
        <v>26.329113924050631</v>
      </c>
      <c r="K531" s="19">
        <f>IF(J531=0,0,J531/INDEX('Labor Dashboard'!$C$36:$C$39,MATCH(E531,'Labor Dashboard'!$B$36:$B$39,0)))</f>
        <v>1.0531645569620252</v>
      </c>
      <c r="L531" s="18">
        <f t="shared" si="17"/>
        <v>7</v>
      </c>
      <c r="M531" s="20">
        <f>G531*INDEX(Employees!$E$2:$E$17,MATCH(B531,Employees!$A$2:$A$17,0))</f>
        <v>189.60000000000002</v>
      </c>
    </row>
    <row r="532" spans="1:13" ht="18" x14ac:dyDescent="0.2">
      <c r="A532" s="17">
        <v>1418</v>
      </c>
      <c r="B532" s="17">
        <v>32</v>
      </c>
      <c r="C532" s="17" t="s">
        <v>445</v>
      </c>
      <c r="D532" s="17" t="s">
        <v>791</v>
      </c>
      <c r="E532" s="17" t="s">
        <v>795</v>
      </c>
      <c r="F532" s="17">
        <v>193</v>
      </c>
      <c r="G532" s="17">
        <v>7.6</v>
      </c>
      <c r="H532" s="17" t="str">
        <f>INDEX(Employees!$B$2:$B$17,MATCH(B532,Employees!$A$2:$A$17,0))</f>
        <v>Sawyer</v>
      </c>
      <c r="I532" s="17" t="str">
        <f>INDEX(Employees!$C$2:$C$17,MATCH(B532,Employees!$A$2:$A$17,0))</f>
        <v>Shift Supervisor</v>
      </c>
      <c r="J532" s="25">
        <f t="shared" si="16"/>
        <v>25.394736842105264</v>
      </c>
      <c r="K532" s="19">
        <f>IF(J532=0,0,J532/INDEX('Labor Dashboard'!$C$36:$C$39,MATCH(E532,'Labor Dashboard'!$B$36:$B$39,0)))</f>
        <v>0.84649122807017541</v>
      </c>
      <c r="L532" s="18">
        <f t="shared" si="17"/>
        <v>7</v>
      </c>
      <c r="M532" s="20">
        <f>G532*INDEX(Employees!$E$2:$E$17,MATCH(B532,Employees!$A$2:$A$17,0))</f>
        <v>182.39999999999998</v>
      </c>
    </row>
    <row r="533" spans="1:13" ht="18" x14ac:dyDescent="0.2">
      <c r="A533" s="17">
        <v>1419</v>
      </c>
      <c r="B533" s="17">
        <v>17</v>
      </c>
      <c r="C533" s="17" t="s">
        <v>413</v>
      </c>
      <c r="D533" s="17" t="s">
        <v>793</v>
      </c>
      <c r="E533" s="17" t="s">
        <v>792</v>
      </c>
      <c r="F533" s="17">
        <v>415</v>
      </c>
      <c r="G533" s="17">
        <v>8.1</v>
      </c>
      <c r="H533" s="17" t="str">
        <f>INDEX(Employees!$B$2:$B$17,MATCH(B533,Employees!$A$2:$A$17,0))</f>
        <v>Jordan</v>
      </c>
      <c r="I533" s="17" t="str">
        <f>INDEX(Employees!$C$2:$C$17,MATCH(B533,Employees!$A$2:$A$17,0))</f>
        <v>Picker</v>
      </c>
      <c r="J533" s="25">
        <f t="shared" si="16"/>
        <v>51.23456790123457</v>
      </c>
      <c r="K533" s="19">
        <f>IF(J533=0,0,J533/INDEX('Labor Dashboard'!$C$36:$C$39,MATCH(E533,'Labor Dashboard'!$B$36:$B$39,0)))</f>
        <v>0.93153759820426496</v>
      </c>
      <c r="L533" s="18">
        <f t="shared" si="17"/>
        <v>7</v>
      </c>
      <c r="M533" s="20">
        <f>G533*INDEX(Employees!$E$2:$E$17,MATCH(B533,Employees!$A$2:$A$17,0))</f>
        <v>137.69999999999999</v>
      </c>
    </row>
    <row r="534" spans="1:13" ht="18" x14ac:dyDescent="0.2">
      <c r="A534" s="17">
        <v>1420</v>
      </c>
      <c r="B534" s="17">
        <v>18</v>
      </c>
      <c r="C534" s="17" t="s">
        <v>413</v>
      </c>
      <c r="D534" s="17" t="s">
        <v>791</v>
      </c>
      <c r="E534" s="17" t="s">
        <v>792</v>
      </c>
      <c r="F534" s="17">
        <v>421</v>
      </c>
      <c r="G534" s="17">
        <v>6.9</v>
      </c>
      <c r="H534" s="17" t="str">
        <f>INDEX(Employees!$B$2:$B$17,MATCH(B534,Employees!$A$2:$A$17,0))</f>
        <v>Casey</v>
      </c>
      <c r="I534" s="17" t="str">
        <f>INDEX(Employees!$C$2:$C$17,MATCH(B534,Employees!$A$2:$A$17,0))</f>
        <v>Picker</v>
      </c>
      <c r="J534" s="25">
        <f t="shared" si="16"/>
        <v>61.014492753623188</v>
      </c>
      <c r="K534" s="19">
        <f>IF(J534=0,0,J534/INDEX('Labor Dashboard'!$C$36:$C$39,MATCH(E534,'Labor Dashboard'!$B$36:$B$39,0)))</f>
        <v>1.1093544137022397</v>
      </c>
      <c r="L534" s="18">
        <f t="shared" si="17"/>
        <v>7</v>
      </c>
      <c r="M534" s="20">
        <f>G534*INDEX(Employees!$E$2:$E$17,MATCH(B534,Employees!$A$2:$A$17,0))</f>
        <v>117.30000000000001</v>
      </c>
    </row>
    <row r="535" spans="1:13" ht="18" x14ac:dyDescent="0.2">
      <c r="A535" s="17">
        <v>1421</v>
      </c>
      <c r="B535" s="17">
        <v>19</v>
      </c>
      <c r="C535" s="17" t="s">
        <v>413</v>
      </c>
      <c r="D535" s="17" t="s">
        <v>793</v>
      </c>
      <c r="E535" s="17" t="s">
        <v>792</v>
      </c>
      <c r="F535" s="17">
        <v>408</v>
      </c>
      <c r="G535" s="17">
        <v>6.6</v>
      </c>
      <c r="H535" s="17" t="str">
        <f>INDEX(Employees!$B$2:$B$17,MATCH(B535,Employees!$A$2:$A$17,0))</f>
        <v>Morgan</v>
      </c>
      <c r="I535" s="17" t="str">
        <f>INDEX(Employees!$C$2:$C$17,MATCH(B535,Employees!$A$2:$A$17,0))</f>
        <v>Picker</v>
      </c>
      <c r="J535" s="25">
        <f t="shared" si="16"/>
        <v>61.81818181818182</v>
      </c>
      <c r="K535" s="19">
        <f>IF(J535=0,0,J535/INDEX('Labor Dashboard'!$C$36:$C$39,MATCH(E535,'Labor Dashboard'!$B$36:$B$39,0)))</f>
        <v>1.1239669421487604</v>
      </c>
      <c r="L535" s="18">
        <f t="shared" si="17"/>
        <v>7</v>
      </c>
      <c r="M535" s="20">
        <f>G535*INDEX(Employees!$E$2:$E$17,MATCH(B535,Employees!$A$2:$A$17,0))</f>
        <v>112.19999999999999</v>
      </c>
    </row>
    <row r="536" spans="1:13" ht="18" x14ac:dyDescent="0.2">
      <c r="A536" s="17">
        <v>1422</v>
      </c>
      <c r="B536" s="17">
        <v>20</v>
      </c>
      <c r="C536" s="17" t="s">
        <v>413</v>
      </c>
      <c r="D536" s="17" t="s">
        <v>791</v>
      </c>
      <c r="E536" s="17" t="s">
        <v>792</v>
      </c>
      <c r="F536" s="17">
        <v>388</v>
      </c>
      <c r="G536" s="17">
        <v>6.6</v>
      </c>
      <c r="H536" s="17" t="str">
        <f>INDEX(Employees!$B$2:$B$17,MATCH(B536,Employees!$A$2:$A$17,0))</f>
        <v>Taylor</v>
      </c>
      <c r="I536" s="17" t="str">
        <f>INDEX(Employees!$C$2:$C$17,MATCH(B536,Employees!$A$2:$A$17,0))</f>
        <v>Picker</v>
      </c>
      <c r="J536" s="25">
        <f t="shared" si="16"/>
        <v>58.787878787878789</v>
      </c>
      <c r="K536" s="19">
        <f>IF(J536=0,0,J536/INDEX('Labor Dashboard'!$C$36:$C$39,MATCH(E536,'Labor Dashboard'!$B$36:$B$39,0)))</f>
        <v>1.0688705234159779</v>
      </c>
      <c r="L536" s="18">
        <f t="shared" si="17"/>
        <v>7</v>
      </c>
      <c r="M536" s="20">
        <f>G536*INDEX(Employees!$E$2:$E$17,MATCH(B536,Employees!$A$2:$A$17,0))</f>
        <v>112.19999999999999</v>
      </c>
    </row>
    <row r="537" spans="1:13" ht="18" x14ac:dyDescent="0.2">
      <c r="A537" s="17">
        <v>1423</v>
      </c>
      <c r="B537" s="17">
        <v>21</v>
      </c>
      <c r="C537" s="17" t="s">
        <v>413</v>
      </c>
      <c r="D537" s="17" t="s">
        <v>793</v>
      </c>
      <c r="E537" s="17" t="s">
        <v>794</v>
      </c>
      <c r="F537" s="17">
        <v>299</v>
      </c>
      <c r="G537" s="17">
        <v>8</v>
      </c>
      <c r="H537" s="17" t="str">
        <f>INDEX(Employees!$B$2:$B$17,MATCH(B537,Employees!$A$2:$A$17,0))</f>
        <v>Riley</v>
      </c>
      <c r="I537" s="17" t="str">
        <f>INDEX(Employees!$C$2:$C$17,MATCH(B537,Employees!$A$2:$A$17,0))</f>
        <v>Packer</v>
      </c>
      <c r="J537" s="25">
        <f t="shared" si="16"/>
        <v>37.375</v>
      </c>
      <c r="K537" s="19">
        <f>IF(J537=0,0,J537/INDEX('Labor Dashboard'!$C$36:$C$39,MATCH(E537,'Labor Dashboard'!$B$36:$B$39,0)))</f>
        <v>0.8305555555555556</v>
      </c>
      <c r="L537" s="18">
        <f t="shared" si="17"/>
        <v>7</v>
      </c>
      <c r="M537" s="20">
        <f>G537*INDEX(Employees!$E$2:$E$17,MATCH(B537,Employees!$A$2:$A$17,0))</f>
        <v>136</v>
      </c>
    </row>
    <row r="538" spans="1:13" ht="18" x14ac:dyDescent="0.2">
      <c r="A538" s="17">
        <v>1424</v>
      </c>
      <c r="B538" s="17">
        <v>22</v>
      </c>
      <c r="C538" s="17" t="s">
        <v>413</v>
      </c>
      <c r="D538" s="17" t="s">
        <v>793</v>
      </c>
      <c r="E538" s="17" t="s">
        <v>794</v>
      </c>
      <c r="F538" s="17">
        <v>306</v>
      </c>
      <c r="G538" s="17">
        <v>6.7</v>
      </c>
      <c r="H538" s="17" t="str">
        <f>INDEX(Employees!$B$2:$B$17,MATCH(B538,Employees!$A$2:$A$17,0))</f>
        <v>Avery</v>
      </c>
      <c r="I538" s="17" t="str">
        <f>INDEX(Employees!$C$2:$C$17,MATCH(B538,Employees!$A$2:$A$17,0))</f>
        <v>Packer</v>
      </c>
      <c r="J538" s="25">
        <f t="shared" si="16"/>
        <v>45.671641791044777</v>
      </c>
      <c r="K538" s="19">
        <f>IF(J538=0,0,J538/INDEX('Labor Dashboard'!$C$36:$C$39,MATCH(E538,'Labor Dashboard'!$B$36:$B$39,0)))</f>
        <v>1.0149253731343284</v>
      </c>
      <c r="L538" s="18">
        <f t="shared" si="17"/>
        <v>7</v>
      </c>
      <c r="M538" s="20">
        <f>G538*INDEX(Employees!$E$2:$E$17,MATCH(B538,Employees!$A$2:$A$17,0))</f>
        <v>113.9</v>
      </c>
    </row>
    <row r="539" spans="1:13" ht="18" x14ac:dyDescent="0.2">
      <c r="A539" s="17">
        <v>1425</v>
      </c>
      <c r="B539" s="17">
        <v>23</v>
      </c>
      <c r="C539" s="17" t="s">
        <v>413</v>
      </c>
      <c r="D539" s="17" t="s">
        <v>791</v>
      </c>
      <c r="E539" s="17" t="s">
        <v>794</v>
      </c>
      <c r="F539" s="17">
        <v>414</v>
      </c>
      <c r="G539" s="17">
        <v>7.6</v>
      </c>
      <c r="H539" s="17" t="str">
        <f>INDEX(Employees!$B$2:$B$17,MATCH(B539,Employees!$A$2:$A$17,0))</f>
        <v>Cameron</v>
      </c>
      <c r="I539" s="17" t="str">
        <f>INDEX(Employees!$C$2:$C$17,MATCH(B539,Employees!$A$2:$A$17,0))</f>
        <v>Packer</v>
      </c>
      <c r="J539" s="25">
        <f t="shared" si="16"/>
        <v>54.473684210526315</v>
      </c>
      <c r="K539" s="19">
        <f>IF(J539=0,0,J539/INDEX('Labor Dashboard'!$C$36:$C$39,MATCH(E539,'Labor Dashboard'!$B$36:$B$39,0)))</f>
        <v>1.2105263157894737</v>
      </c>
      <c r="L539" s="18">
        <f t="shared" si="17"/>
        <v>7</v>
      </c>
      <c r="M539" s="20">
        <f>G539*INDEX(Employees!$E$2:$E$17,MATCH(B539,Employees!$A$2:$A$17,0))</f>
        <v>129.19999999999999</v>
      </c>
    </row>
    <row r="540" spans="1:13" ht="18" x14ac:dyDescent="0.2">
      <c r="A540" s="17">
        <v>1426</v>
      </c>
      <c r="B540" s="17">
        <v>24</v>
      </c>
      <c r="C540" s="17" t="s">
        <v>413</v>
      </c>
      <c r="D540" s="17" t="s">
        <v>793</v>
      </c>
      <c r="E540" s="17" t="s">
        <v>795</v>
      </c>
      <c r="F540" s="17">
        <v>214</v>
      </c>
      <c r="G540" s="17">
        <v>7.3</v>
      </c>
      <c r="H540" s="17" t="str">
        <f>INDEX(Employees!$B$2:$B$17,MATCH(B540,Employees!$A$2:$A$17,0))</f>
        <v>Dakota</v>
      </c>
      <c r="I540" s="17" t="str">
        <f>INDEX(Employees!$C$2:$C$17,MATCH(B540,Employees!$A$2:$A$17,0))</f>
        <v>Forklift Operator</v>
      </c>
      <c r="J540" s="25">
        <f t="shared" si="16"/>
        <v>29.315068493150687</v>
      </c>
      <c r="K540" s="19">
        <f>IF(J540=0,0,J540/INDEX('Labor Dashboard'!$C$36:$C$39,MATCH(E540,'Labor Dashboard'!$B$36:$B$39,0)))</f>
        <v>0.97716894977168955</v>
      </c>
      <c r="L540" s="18">
        <f t="shared" si="17"/>
        <v>7</v>
      </c>
      <c r="M540" s="20">
        <f>G540*INDEX(Employees!$E$2:$E$17,MATCH(B540,Employees!$A$2:$A$17,0))</f>
        <v>142.35</v>
      </c>
    </row>
    <row r="541" spans="1:13" ht="18" x14ac:dyDescent="0.2">
      <c r="A541" s="17">
        <v>1427</v>
      </c>
      <c r="B541" s="17">
        <v>27</v>
      </c>
      <c r="C541" s="17" t="s">
        <v>413</v>
      </c>
      <c r="D541" s="17" t="s">
        <v>793</v>
      </c>
      <c r="E541" s="17" t="s">
        <v>795</v>
      </c>
      <c r="F541" s="17">
        <v>195</v>
      </c>
      <c r="G541" s="17">
        <v>8.1</v>
      </c>
      <c r="H541" s="17" t="str">
        <f>INDEX(Employees!$B$2:$B$17,MATCH(B541,Employees!$A$2:$A$17,0))</f>
        <v>Skyler</v>
      </c>
      <c r="I541" s="17" t="str">
        <f>INDEX(Employees!$C$2:$C$17,MATCH(B541,Employees!$A$2:$A$17,0))</f>
        <v>Receiving Clerk</v>
      </c>
      <c r="J541" s="25">
        <f t="shared" si="16"/>
        <v>24.074074074074076</v>
      </c>
      <c r="K541" s="19">
        <f>IF(J541=0,0,J541/INDEX('Labor Dashboard'!$C$36:$C$39,MATCH(E541,'Labor Dashboard'!$B$36:$B$39,0)))</f>
        <v>0.80246913580246926</v>
      </c>
      <c r="L541" s="18">
        <f t="shared" si="17"/>
        <v>7</v>
      </c>
      <c r="M541" s="20">
        <f>G541*INDEX(Employees!$E$2:$E$17,MATCH(B541,Employees!$A$2:$A$17,0))</f>
        <v>145.79999999999998</v>
      </c>
    </row>
    <row r="542" spans="1:13" ht="18" x14ac:dyDescent="0.2">
      <c r="A542" s="17">
        <v>1428</v>
      </c>
      <c r="B542" s="17">
        <v>28</v>
      </c>
      <c r="C542" s="17" t="s">
        <v>413</v>
      </c>
      <c r="D542" s="17" t="s">
        <v>793</v>
      </c>
      <c r="E542" s="17" t="s">
        <v>796</v>
      </c>
      <c r="F542" s="17">
        <v>176</v>
      </c>
      <c r="G542" s="17">
        <v>7.2</v>
      </c>
      <c r="H542" s="17" t="str">
        <f>INDEX(Employees!$B$2:$B$17,MATCH(B542,Employees!$A$2:$A$17,0))</f>
        <v>Peyton</v>
      </c>
      <c r="I542" s="17" t="str">
        <f>INDEX(Employees!$C$2:$C$17,MATCH(B542,Employees!$A$2:$A$17,0))</f>
        <v>Cycle Counter</v>
      </c>
      <c r="J542" s="25">
        <f t="shared" si="16"/>
        <v>24.444444444444443</v>
      </c>
      <c r="K542" s="19">
        <f>IF(J542=0,0,J542/INDEX('Labor Dashboard'!$C$36:$C$39,MATCH(E542,'Labor Dashboard'!$B$36:$B$39,0)))</f>
        <v>0.97777777777777775</v>
      </c>
      <c r="L542" s="18">
        <f t="shared" si="17"/>
        <v>7</v>
      </c>
      <c r="M542" s="20">
        <f>G542*INDEX(Employees!$E$2:$E$17,MATCH(B542,Employees!$A$2:$A$17,0))</f>
        <v>129.6</v>
      </c>
    </row>
    <row r="543" spans="1:13" ht="18" x14ac:dyDescent="0.2">
      <c r="A543" s="17">
        <v>1429</v>
      </c>
      <c r="B543" s="17">
        <v>29</v>
      </c>
      <c r="C543" s="17" t="s">
        <v>413</v>
      </c>
      <c r="D543" s="17" t="s">
        <v>791</v>
      </c>
      <c r="E543" s="17" t="s">
        <v>796</v>
      </c>
      <c r="F543" s="17">
        <v>222</v>
      </c>
      <c r="G543" s="17">
        <v>7.9</v>
      </c>
      <c r="H543" s="17" t="str">
        <f>INDEX(Employees!$B$2:$B$17,MATCH(B543,Employees!$A$2:$A$17,0))</f>
        <v>Rowan</v>
      </c>
      <c r="I543" s="17" t="str">
        <f>INDEX(Employees!$C$2:$C$17,MATCH(B543,Employees!$A$2:$A$17,0))</f>
        <v>Cycle Counter</v>
      </c>
      <c r="J543" s="25">
        <f t="shared" si="16"/>
        <v>28.101265822784807</v>
      </c>
      <c r="K543" s="19">
        <f>IF(J543=0,0,J543/INDEX('Labor Dashboard'!$C$36:$C$39,MATCH(E543,'Labor Dashboard'!$B$36:$B$39,0)))</f>
        <v>1.1240506329113922</v>
      </c>
      <c r="L543" s="18">
        <f t="shared" si="17"/>
        <v>7</v>
      </c>
      <c r="M543" s="20">
        <f>G543*INDEX(Employees!$E$2:$E$17,MATCH(B543,Employees!$A$2:$A$17,0))</f>
        <v>142.20000000000002</v>
      </c>
    </row>
    <row r="544" spans="1:13" ht="18" x14ac:dyDescent="0.2">
      <c r="A544" s="17">
        <v>1430</v>
      </c>
      <c r="B544" s="17">
        <v>30</v>
      </c>
      <c r="C544" s="17" t="s">
        <v>413</v>
      </c>
      <c r="D544" s="17" t="s">
        <v>791</v>
      </c>
      <c r="E544" s="17" t="s">
        <v>796</v>
      </c>
      <c r="F544" s="17">
        <v>147</v>
      </c>
      <c r="G544" s="17">
        <v>7</v>
      </c>
      <c r="H544" s="17" t="str">
        <f>INDEX(Employees!$B$2:$B$17,MATCH(B544,Employees!$A$2:$A$17,0))</f>
        <v>Emerson</v>
      </c>
      <c r="I544" s="17" t="str">
        <f>INDEX(Employees!$C$2:$C$17,MATCH(B544,Employees!$A$2:$A$17,0))</f>
        <v>Shift Supervisor</v>
      </c>
      <c r="J544" s="25">
        <f t="shared" si="16"/>
        <v>21</v>
      </c>
      <c r="K544" s="19">
        <f>IF(J544=0,0,J544/INDEX('Labor Dashboard'!$C$36:$C$39,MATCH(E544,'Labor Dashboard'!$B$36:$B$39,0)))</f>
        <v>0.84</v>
      </c>
      <c r="L544" s="18">
        <f t="shared" si="17"/>
        <v>7</v>
      </c>
      <c r="M544" s="20">
        <f>G544*INDEX(Employees!$E$2:$E$17,MATCH(B544,Employees!$A$2:$A$17,0))</f>
        <v>168</v>
      </c>
    </row>
    <row r="545" spans="1:13" ht="18" x14ac:dyDescent="0.2">
      <c r="A545" s="17">
        <v>1431</v>
      </c>
      <c r="B545" s="17">
        <v>31</v>
      </c>
      <c r="C545" s="17" t="s">
        <v>413</v>
      </c>
      <c r="D545" s="17" t="s">
        <v>791</v>
      </c>
      <c r="E545" s="17" t="s">
        <v>794</v>
      </c>
      <c r="F545" s="17">
        <v>361</v>
      </c>
      <c r="G545" s="17">
        <v>7.6</v>
      </c>
      <c r="H545" s="17" t="str">
        <f>INDEX(Employees!$B$2:$B$17,MATCH(B545,Employees!$A$2:$A$17,0))</f>
        <v>Finley</v>
      </c>
      <c r="I545" s="17" t="str">
        <f>INDEX(Employees!$C$2:$C$17,MATCH(B545,Employees!$A$2:$A$17,0))</f>
        <v>Shift Supervisor</v>
      </c>
      <c r="J545" s="25">
        <f t="shared" si="16"/>
        <v>47.5</v>
      </c>
      <c r="K545" s="19">
        <f>IF(J545=0,0,J545/INDEX('Labor Dashboard'!$C$36:$C$39,MATCH(E545,'Labor Dashboard'!$B$36:$B$39,0)))</f>
        <v>1.0555555555555556</v>
      </c>
      <c r="L545" s="18">
        <f t="shared" si="17"/>
        <v>7</v>
      </c>
      <c r="M545" s="20">
        <f>G545*INDEX(Employees!$E$2:$E$17,MATCH(B545,Employees!$A$2:$A$17,0))</f>
        <v>182.39999999999998</v>
      </c>
    </row>
    <row r="546" spans="1:13" ht="18" x14ac:dyDescent="0.2">
      <c r="A546" s="17">
        <v>1432</v>
      </c>
      <c r="B546" s="17">
        <v>32</v>
      </c>
      <c r="C546" s="17" t="s">
        <v>413</v>
      </c>
      <c r="D546" s="17" t="s">
        <v>791</v>
      </c>
      <c r="E546" s="17" t="s">
        <v>795</v>
      </c>
      <c r="F546" s="17">
        <v>181</v>
      </c>
      <c r="G546" s="17">
        <v>6.7</v>
      </c>
      <c r="H546" s="17" t="str">
        <f>INDEX(Employees!$B$2:$B$17,MATCH(B546,Employees!$A$2:$A$17,0))</f>
        <v>Sawyer</v>
      </c>
      <c r="I546" s="17" t="str">
        <f>INDEX(Employees!$C$2:$C$17,MATCH(B546,Employees!$A$2:$A$17,0))</f>
        <v>Shift Supervisor</v>
      </c>
      <c r="J546" s="25">
        <f t="shared" si="16"/>
        <v>27.014925373134329</v>
      </c>
      <c r="K546" s="19">
        <f>IF(J546=0,0,J546/INDEX('Labor Dashboard'!$C$36:$C$39,MATCH(E546,'Labor Dashboard'!$B$36:$B$39,0)))</f>
        <v>0.90049751243781095</v>
      </c>
      <c r="L546" s="18">
        <f t="shared" si="17"/>
        <v>7</v>
      </c>
      <c r="M546" s="20">
        <f>G546*INDEX(Employees!$E$2:$E$17,MATCH(B546,Employees!$A$2:$A$17,0))</f>
        <v>160.80000000000001</v>
      </c>
    </row>
    <row r="547" spans="1:13" ht="18" x14ac:dyDescent="0.2">
      <c r="A547" s="17">
        <v>1433</v>
      </c>
      <c r="B547" s="17">
        <v>17</v>
      </c>
      <c r="C547" s="17" t="s">
        <v>180</v>
      </c>
      <c r="D547" s="17" t="s">
        <v>791</v>
      </c>
      <c r="E547" s="17" t="s">
        <v>792</v>
      </c>
      <c r="F547" s="17">
        <v>306</v>
      </c>
      <c r="G547" s="17">
        <v>6.7</v>
      </c>
      <c r="H547" s="17" t="str">
        <f>INDEX(Employees!$B$2:$B$17,MATCH(B547,Employees!$A$2:$A$17,0))</f>
        <v>Jordan</v>
      </c>
      <c r="I547" s="17" t="str">
        <f>INDEX(Employees!$C$2:$C$17,MATCH(B547,Employees!$A$2:$A$17,0))</f>
        <v>Picker</v>
      </c>
      <c r="J547" s="25">
        <f t="shared" si="16"/>
        <v>45.671641791044777</v>
      </c>
      <c r="K547" s="19">
        <f>IF(J547=0,0,J547/INDEX('Labor Dashboard'!$C$36:$C$39,MATCH(E547,'Labor Dashboard'!$B$36:$B$39,0)))</f>
        <v>0.83039348710990502</v>
      </c>
      <c r="L547" s="18">
        <f t="shared" si="17"/>
        <v>8</v>
      </c>
      <c r="M547" s="20">
        <f>G547*INDEX(Employees!$E$2:$E$17,MATCH(B547,Employees!$A$2:$A$17,0))</f>
        <v>113.9</v>
      </c>
    </row>
    <row r="548" spans="1:13" ht="18" x14ac:dyDescent="0.2">
      <c r="A548" s="17">
        <v>1434</v>
      </c>
      <c r="B548" s="17">
        <v>18</v>
      </c>
      <c r="C548" s="17" t="s">
        <v>180</v>
      </c>
      <c r="D548" s="17" t="s">
        <v>793</v>
      </c>
      <c r="E548" s="17" t="s">
        <v>792</v>
      </c>
      <c r="F548" s="17">
        <v>475</v>
      </c>
      <c r="G548" s="17">
        <v>8.5</v>
      </c>
      <c r="H548" s="17" t="str">
        <f>INDEX(Employees!$B$2:$B$17,MATCH(B548,Employees!$A$2:$A$17,0))</f>
        <v>Casey</v>
      </c>
      <c r="I548" s="17" t="str">
        <f>INDEX(Employees!$C$2:$C$17,MATCH(B548,Employees!$A$2:$A$17,0))</f>
        <v>Picker</v>
      </c>
      <c r="J548" s="25">
        <f t="shared" si="16"/>
        <v>55.882352941176471</v>
      </c>
      <c r="K548" s="19">
        <f>IF(J548=0,0,J548/INDEX('Labor Dashboard'!$C$36:$C$39,MATCH(E548,'Labor Dashboard'!$B$36:$B$39,0)))</f>
        <v>1.0160427807486632</v>
      </c>
      <c r="L548" s="18">
        <f t="shared" si="17"/>
        <v>8</v>
      </c>
      <c r="M548" s="20">
        <f>G548*INDEX(Employees!$E$2:$E$17,MATCH(B548,Employees!$A$2:$A$17,0))</f>
        <v>144.5</v>
      </c>
    </row>
    <row r="549" spans="1:13" ht="18" x14ac:dyDescent="0.2">
      <c r="A549" s="17">
        <v>1435</v>
      </c>
      <c r="B549" s="17">
        <v>19</v>
      </c>
      <c r="C549" s="17" t="s">
        <v>180</v>
      </c>
      <c r="D549" s="17" t="s">
        <v>791</v>
      </c>
      <c r="E549" s="17" t="s">
        <v>792</v>
      </c>
      <c r="F549" s="17">
        <v>370</v>
      </c>
      <c r="G549" s="17">
        <v>6.7</v>
      </c>
      <c r="H549" s="17" t="str">
        <f>INDEX(Employees!$B$2:$B$17,MATCH(B549,Employees!$A$2:$A$17,0))</f>
        <v>Morgan</v>
      </c>
      <c r="I549" s="17" t="str">
        <f>INDEX(Employees!$C$2:$C$17,MATCH(B549,Employees!$A$2:$A$17,0))</f>
        <v>Picker</v>
      </c>
      <c r="J549" s="25">
        <f t="shared" si="16"/>
        <v>55.223880597014926</v>
      </c>
      <c r="K549" s="19">
        <f>IF(J549=0,0,J549/INDEX('Labor Dashboard'!$C$36:$C$39,MATCH(E549,'Labor Dashboard'!$B$36:$B$39,0)))</f>
        <v>1.0040705563093624</v>
      </c>
      <c r="L549" s="18">
        <f t="shared" si="17"/>
        <v>8</v>
      </c>
      <c r="M549" s="20">
        <f>G549*INDEX(Employees!$E$2:$E$17,MATCH(B549,Employees!$A$2:$A$17,0))</f>
        <v>113.9</v>
      </c>
    </row>
    <row r="550" spans="1:13" ht="18" x14ac:dyDescent="0.2">
      <c r="A550" s="17">
        <v>1436</v>
      </c>
      <c r="B550" s="17">
        <v>20</v>
      </c>
      <c r="C550" s="17" t="s">
        <v>180</v>
      </c>
      <c r="D550" s="17" t="s">
        <v>791</v>
      </c>
      <c r="E550" s="17" t="s">
        <v>792</v>
      </c>
      <c r="F550" s="17">
        <v>452</v>
      </c>
      <c r="G550" s="17">
        <v>7.7</v>
      </c>
      <c r="H550" s="17" t="str">
        <f>INDEX(Employees!$B$2:$B$17,MATCH(B550,Employees!$A$2:$A$17,0))</f>
        <v>Taylor</v>
      </c>
      <c r="I550" s="17" t="str">
        <f>INDEX(Employees!$C$2:$C$17,MATCH(B550,Employees!$A$2:$A$17,0))</f>
        <v>Picker</v>
      </c>
      <c r="J550" s="25">
        <f t="shared" si="16"/>
        <v>58.701298701298697</v>
      </c>
      <c r="K550" s="19">
        <f>IF(J550=0,0,J550/INDEX('Labor Dashboard'!$C$36:$C$39,MATCH(E550,'Labor Dashboard'!$B$36:$B$39,0)))</f>
        <v>1.0672963400236126</v>
      </c>
      <c r="L550" s="18">
        <f t="shared" si="17"/>
        <v>8</v>
      </c>
      <c r="M550" s="20">
        <f>G550*INDEX(Employees!$E$2:$E$17,MATCH(B550,Employees!$A$2:$A$17,0))</f>
        <v>130.9</v>
      </c>
    </row>
    <row r="551" spans="1:13" ht="18" x14ac:dyDescent="0.2">
      <c r="A551" s="17">
        <v>1437</v>
      </c>
      <c r="B551" s="17">
        <v>21</v>
      </c>
      <c r="C551" s="17" t="s">
        <v>180</v>
      </c>
      <c r="D551" s="17" t="s">
        <v>793</v>
      </c>
      <c r="E551" s="17" t="s">
        <v>794</v>
      </c>
      <c r="F551" s="17">
        <v>254</v>
      </c>
      <c r="G551" s="17">
        <v>6.9</v>
      </c>
      <c r="H551" s="17" t="str">
        <f>INDEX(Employees!$B$2:$B$17,MATCH(B551,Employees!$A$2:$A$17,0))</f>
        <v>Riley</v>
      </c>
      <c r="I551" s="17" t="str">
        <f>INDEX(Employees!$C$2:$C$17,MATCH(B551,Employees!$A$2:$A$17,0))</f>
        <v>Packer</v>
      </c>
      <c r="J551" s="25">
        <f t="shared" si="16"/>
        <v>36.811594202898547</v>
      </c>
      <c r="K551" s="19">
        <f>IF(J551=0,0,J551/INDEX('Labor Dashboard'!$C$36:$C$39,MATCH(E551,'Labor Dashboard'!$B$36:$B$39,0)))</f>
        <v>0.81803542673107887</v>
      </c>
      <c r="L551" s="18">
        <f t="shared" si="17"/>
        <v>8</v>
      </c>
      <c r="M551" s="20">
        <f>G551*INDEX(Employees!$E$2:$E$17,MATCH(B551,Employees!$A$2:$A$17,0))</f>
        <v>117.30000000000001</v>
      </c>
    </row>
    <row r="552" spans="1:13" ht="18" x14ac:dyDescent="0.2">
      <c r="A552" s="17">
        <v>1438</v>
      </c>
      <c r="B552" s="17">
        <v>23</v>
      </c>
      <c r="C552" s="17" t="s">
        <v>180</v>
      </c>
      <c r="D552" s="17" t="s">
        <v>793</v>
      </c>
      <c r="E552" s="17" t="s">
        <v>794</v>
      </c>
      <c r="F552" s="17">
        <v>301</v>
      </c>
      <c r="G552" s="17">
        <v>6.5</v>
      </c>
      <c r="H552" s="17" t="str">
        <f>INDEX(Employees!$B$2:$B$17,MATCH(B552,Employees!$A$2:$A$17,0))</f>
        <v>Cameron</v>
      </c>
      <c r="I552" s="17" t="str">
        <f>INDEX(Employees!$C$2:$C$17,MATCH(B552,Employees!$A$2:$A$17,0))</f>
        <v>Packer</v>
      </c>
      <c r="J552" s="25">
        <f t="shared" si="16"/>
        <v>46.307692307692307</v>
      </c>
      <c r="K552" s="19">
        <f>IF(J552=0,0,J552/INDEX('Labor Dashboard'!$C$36:$C$39,MATCH(E552,'Labor Dashboard'!$B$36:$B$39,0)))</f>
        <v>1.029059829059829</v>
      </c>
      <c r="L552" s="18">
        <f t="shared" si="17"/>
        <v>8</v>
      </c>
      <c r="M552" s="20">
        <f>G552*INDEX(Employees!$E$2:$E$17,MATCH(B552,Employees!$A$2:$A$17,0))</f>
        <v>110.5</v>
      </c>
    </row>
    <row r="553" spans="1:13" ht="18" x14ac:dyDescent="0.2">
      <c r="A553" s="17">
        <v>1439</v>
      </c>
      <c r="B553" s="17">
        <v>25</v>
      </c>
      <c r="C553" s="17" t="s">
        <v>180</v>
      </c>
      <c r="D553" s="17" t="s">
        <v>793</v>
      </c>
      <c r="E553" s="17" t="s">
        <v>792</v>
      </c>
      <c r="F553" s="17">
        <v>428</v>
      </c>
      <c r="G553" s="17">
        <v>7.2</v>
      </c>
      <c r="H553" s="17" t="str">
        <f>INDEX(Employees!$B$2:$B$17,MATCH(B553,Employees!$A$2:$A$17,0))</f>
        <v>Hayden</v>
      </c>
      <c r="I553" s="17" t="str">
        <f>INDEX(Employees!$C$2:$C$17,MATCH(B553,Employees!$A$2:$A$17,0))</f>
        <v>Forklift Operator</v>
      </c>
      <c r="J553" s="25">
        <f t="shared" si="16"/>
        <v>59.444444444444443</v>
      </c>
      <c r="K553" s="19">
        <f>IF(J553=0,0,J553/INDEX('Labor Dashboard'!$C$36:$C$39,MATCH(E553,'Labor Dashboard'!$B$36:$B$39,0)))</f>
        <v>1.0808080808080809</v>
      </c>
      <c r="L553" s="18">
        <f t="shared" si="17"/>
        <v>8</v>
      </c>
      <c r="M553" s="20">
        <f>G553*INDEX(Employees!$E$2:$E$17,MATCH(B553,Employees!$A$2:$A$17,0))</f>
        <v>140.4</v>
      </c>
    </row>
    <row r="554" spans="1:13" ht="18" x14ac:dyDescent="0.2">
      <c r="A554" s="17">
        <v>1440</v>
      </c>
      <c r="B554" s="17">
        <v>26</v>
      </c>
      <c r="C554" s="17" t="s">
        <v>180</v>
      </c>
      <c r="D554" s="17" t="s">
        <v>791</v>
      </c>
      <c r="E554" s="17" t="s">
        <v>795</v>
      </c>
      <c r="F554" s="17">
        <v>243</v>
      </c>
      <c r="G554" s="17">
        <v>8.3000000000000007</v>
      </c>
      <c r="H554" s="17" t="str">
        <f>INDEX(Employees!$B$2:$B$17,MATCH(B554,Employees!$A$2:$A$17,0))</f>
        <v>Reese</v>
      </c>
      <c r="I554" s="17" t="str">
        <f>INDEX(Employees!$C$2:$C$17,MATCH(B554,Employees!$A$2:$A$17,0))</f>
        <v>Receiving Clerk</v>
      </c>
      <c r="J554" s="25">
        <f t="shared" si="16"/>
        <v>29.277108433734938</v>
      </c>
      <c r="K554" s="19">
        <f>IF(J554=0,0,J554/INDEX('Labor Dashboard'!$C$36:$C$39,MATCH(E554,'Labor Dashboard'!$B$36:$B$39,0)))</f>
        <v>0.97590361445783125</v>
      </c>
      <c r="L554" s="18">
        <f t="shared" si="17"/>
        <v>8</v>
      </c>
      <c r="M554" s="20">
        <f>G554*INDEX(Employees!$E$2:$E$17,MATCH(B554,Employees!$A$2:$A$17,0))</f>
        <v>149.4</v>
      </c>
    </row>
    <row r="555" spans="1:13" ht="18" x14ac:dyDescent="0.2">
      <c r="A555" s="17">
        <v>1441</v>
      </c>
      <c r="B555" s="17">
        <v>27</v>
      </c>
      <c r="C555" s="17" t="s">
        <v>180</v>
      </c>
      <c r="D555" s="17" t="s">
        <v>791</v>
      </c>
      <c r="E555" s="17" t="s">
        <v>795</v>
      </c>
      <c r="F555" s="17">
        <v>211</v>
      </c>
      <c r="G555" s="17">
        <v>8.1999999999999993</v>
      </c>
      <c r="H555" s="17" t="str">
        <f>INDEX(Employees!$B$2:$B$17,MATCH(B555,Employees!$A$2:$A$17,0))</f>
        <v>Skyler</v>
      </c>
      <c r="I555" s="17" t="str">
        <f>INDEX(Employees!$C$2:$C$17,MATCH(B555,Employees!$A$2:$A$17,0))</f>
        <v>Receiving Clerk</v>
      </c>
      <c r="J555" s="25">
        <f t="shared" si="16"/>
        <v>25.731707317073173</v>
      </c>
      <c r="K555" s="19">
        <f>IF(J555=0,0,J555/INDEX('Labor Dashboard'!$C$36:$C$39,MATCH(E555,'Labor Dashboard'!$B$36:$B$39,0)))</f>
        <v>0.85772357723577242</v>
      </c>
      <c r="L555" s="18">
        <f t="shared" si="17"/>
        <v>8</v>
      </c>
      <c r="M555" s="20">
        <f>G555*INDEX(Employees!$E$2:$E$17,MATCH(B555,Employees!$A$2:$A$17,0))</f>
        <v>147.6</v>
      </c>
    </row>
    <row r="556" spans="1:13" ht="18" x14ac:dyDescent="0.2">
      <c r="A556" s="17">
        <v>1442</v>
      </c>
      <c r="B556" s="17">
        <v>28</v>
      </c>
      <c r="C556" s="17" t="s">
        <v>180</v>
      </c>
      <c r="D556" s="17" t="s">
        <v>793</v>
      </c>
      <c r="E556" s="17" t="s">
        <v>796</v>
      </c>
      <c r="F556" s="17">
        <v>176</v>
      </c>
      <c r="G556" s="17">
        <v>7.4</v>
      </c>
      <c r="H556" s="17" t="str">
        <f>INDEX(Employees!$B$2:$B$17,MATCH(B556,Employees!$A$2:$A$17,0))</f>
        <v>Peyton</v>
      </c>
      <c r="I556" s="17" t="str">
        <f>INDEX(Employees!$C$2:$C$17,MATCH(B556,Employees!$A$2:$A$17,0))</f>
        <v>Cycle Counter</v>
      </c>
      <c r="J556" s="25">
        <f t="shared" si="16"/>
        <v>23.783783783783782</v>
      </c>
      <c r="K556" s="19">
        <f>IF(J556=0,0,J556/INDEX('Labor Dashboard'!$C$36:$C$39,MATCH(E556,'Labor Dashboard'!$B$36:$B$39,0)))</f>
        <v>0.95135135135135129</v>
      </c>
      <c r="L556" s="18">
        <f t="shared" si="17"/>
        <v>8</v>
      </c>
      <c r="M556" s="20">
        <f>G556*INDEX(Employees!$E$2:$E$17,MATCH(B556,Employees!$A$2:$A$17,0))</f>
        <v>133.20000000000002</v>
      </c>
    </row>
    <row r="557" spans="1:13" ht="18" x14ac:dyDescent="0.2">
      <c r="A557" s="17">
        <v>1443</v>
      </c>
      <c r="B557" s="17">
        <v>30</v>
      </c>
      <c r="C557" s="17" t="s">
        <v>180</v>
      </c>
      <c r="D557" s="17" t="s">
        <v>791</v>
      </c>
      <c r="E557" s="17" t="s">
        <v>795</v>
      </c>
      <c r="F557" s="17">
        <v>186</v>
      </c>
      <c r="G557" s="17">
        <v>7.7</v>
      </c>
      <c r="H557" s="17" t="str">
        <f>INDEX(Employees!$B$2:$B$17,MATCH(B557,Employees!$A$2:$A$17,0))</f>
        <v>Emerson</v>
      </c>
      <c r="I557" s="17" t="str">
        <f>INDEX(Employees!$C$2:$C$17,MATCH(B557,Employees!$A$2:$A$17,0))</f>
        <v>Shift Supervisor</v>
      </c>
      <c r="J557" s="25">
        <f t="shared" si="16"/>
        <v>24.155844155844154</v>
      </c>
      <c r="K557" s="19">
        <f>IF(J557=0,0,J557/INDEX('Labor Dashboard'!$C$36:$C$39,MATCH(E557,'Labor Dashboard'!$B$36:$B$39,0)))</f>
        <v>0.80519480519480513</v>
      </c>
      <c r="L557" s="18">
        <f t="shared" si="17"/>
        <v>8</v>
      </c>
      <c r="M557" s="20">
        <f>G557*INDEX(Employees!$E$2:$E$17,MATCH(B557,Employees!$A$2:$A$17,0))</f>
        <v>184.8</v>
      </c>
    </row>
    <row r="558" spans="1:13" ht="18" x14ac:dyDescent="0.2">
      <c r="A558" s="17">
        <v>1444</v>
      </c>
      <c r="B558" s="17">
        <v>31</v>
      </c>
      <c r="C558" s="17" t="s">
        <v>180</v>
      </c>
      <c r="D558" s="17" t="s">
        <v>791</v>
      </c>
      <c r="E558" s="17" t="s">
        <v>796</v>
      </c>
      <c r="F558" s="17">
        <v>232</v>
      </c>
      <c r="G558" s="17">
        <v>8.3000000000000007</v>
      </c>
      <c r="H558" s="17" t="str">
        <f>INDEX(Employees!$B$2:$B$17,MATCH(B558,Employees!$A$2:$A$17,0))</f>
        <v>Finley</v>
      </c>
      <c r="I558" s="17" t="str">
        <f>INDEX(Employees!$C$2:$C$17,MATCH(B558,Employees!$A$2:$A$17,0))</f>
        <v>Shift Supervisor</v>
      </c>
      <c r="J558" s="25">
        <f t="shared" si="16"/>
        <v>27.951807228915658</v>
      </c>
      <c r="K558" s="19">
        <f>IF(J558=0,0,J558/INDEX('Labor Dashboard'!$C$36:$C$39,MATCH(E558,'Labor Dashboard'!$B$36:$B$39,0)))</f>
        <v>1.1180722891566264</v>
      </c>
      <c r="L558" s="18">
        <f t="shared" si="17"/>
        <v>8</v>
      </c>
      <c r="M558" s="20">
        <f>G558*INDEX(Employees!$E$2:$E$17,MATCH(B558,Employees!$A$2:$A$17,0))</f>
        <v>199.20000000000002</v>
      </c>
    </row>
    <row r="559" spans="1:13" ht="18" x14ac:dyDescent="0.2">
      <c r="A559" s="17">
        <v>1445</v>
      </c>
      <c r="B559" s="17">
        <v>32</v>
      </c>
      <c r="C559" s="17" t="s">
        <v>180</v>
      </c>
      <c r="D559" s="17" t="s">
        <v>793</v>
      </c>
      <c r="E559" s="17" t="s">
        <v>795</v>
      </c>
      <c r="F559" s="17">
        <v>179</v>
      </c>
      <c r="G559" s="17">
        <v>6.7</v>
      </c>
      <c r="H559" s="17" t="str">
        <f>INDEX(Employees!$B$2:$B$17,MATCH(B559,Employees!$A$2:$A$17,0))</f>
        <v>Sawyer</v>
      </c>
      <c r="I559" s="17" t="str">
        <f>INDEX(Employees!$C$2:$C$17,MATCH(B559,Employees!$A$2:$A$17,0))</f>
        <v>Shift Supervisor</v>
      </c>
      <c r="J559" s="25">
        <f t="shared" si="16"/>
        <v>26.71641791044776</v>
      </c>
      <c r="K559" s="19">
        <f>IF(J559=0,0,J559/INDEX('Labor Dashboard'!$C$36:$C$39,MATCH(E559,'Labor Dashboard'!$B$36:$B$39,0)))</f>
        <v>0.89054726368159198</v>
      </c>
      <c r="L559" s="18">
        <f t="shared" si="17"/>
        <v>8</v>
      </c>
      <c r="M559" s="20">
        <f>G559*INDEX(Employees!$E$2:$E$17,MATCH(B559,Employees!$A$2:$A$17,0))</f>
        <v>160.80000000000001</v>
      </c>
    </row>
    <row r="560" spans="1:13" ht="18" x14ac:dyDescent="0.2">
      <c r="A560" s="17">
        <v>1446</v>
      </c>
      <c r="B560" s="17">
        <v>18</v>
      </c>
      <c r="C560" s="17" t="s">
        <v>470</v>
      </c>
      <c r="D560" s="17" t="s">
        <v>791</v>
      </c>
      <c r="E560" s="17" t="s">
        <v>792</v>
      </c>
      <c r="F560" s="17">
        <v>413</v>
      </c>
      <c r="G560" s="17">
        <v>7.2</v>
      </c>
      <c r="H560" s="17" t="str">
        <f>INDEX(Employees!$B$2:$B$17,MATCH(B560,Employees!$A$2:$A$17,0))</f>
        <v>Casey</v>
      </c>
      <c r="I560" s="17" t="str">
        <f>INDEX(Employees!$C$2:$C$17,MATCH(B560,Employees!$A$2:$A$17,0))</f>
        <v>Picker</v>
      </c>
      <c r="J560" s="25">
        <f t="shared" si="16"/>
        <v>57.361111111111107</v>
      </c>
      <c r="K560" s="19">
        <f>IF(J560=0,0,J560/INDEX('Labor Dashboard'!$C$36:$C$39,MATCH(E560,'Labor Dashboard'!$B$36:$B$39,0)))</f>
        <v>1.0429292929292928</v>
      </c>
      <c r="L560" s="18">
        <f t="shared" si="17"/>
        <v>8</v>
      </c>
      <c r="M560" s="20">
        <f>G560*INDEX(Employees!$E$2:$E$17,MATCH(B560,Employees!$A$2:$A$17,0))</f>
        <v>122.4</v>
      </c>
    </row>
    <row r="561" spans="1:13" ht="18" x14ac:dyDescent="0.2">
      <c r="A561" s="17">
        <v>1447</v>
      </c>
      <c r="B561" s="17">
        <v>19</v>
      </c>
      <c r="C561" s="17" t="s">
        <v>470</v>
      </c>
      <c r="D561" s="17" t="s">
        <v>793</v>
      </c>
      <c r="E561" s="17" t="s">
        <v>792</v>
      </c>
      <c r="F561" s="17">
        <v>449</v>
      </c>
      <c r="G561" s="17">
        <v>7.5</v>
      </c>
      <c r="H561" s="17" t="str">
        <f>INDEX(Employees!$B$2:$B$17,MATCH(B561,Employees!$A$2:$A$17,0))</f>
        <v>Morgan</v>
      </c>
      <c r="I561" s="17" t="str">
        <f>INDEX(Employees!$C$2:$C$17,MATCH(B561,Employees!$A$2:$A$17,0))</f>
        <v>Picker</v>
      </c>
      <c r="J561" s="25">
        <f t="shared" si="16"/>
        <v>59.866666666666667</v>
      </c>
      <c r="K561" s="19">
        <f>IF(J561=0,0,J561/INDEX('Labor Dashboard'!$C$36:$C$39,MATCH(E561,'Labor Dashboard'!$B$36:$B$39,0)))</f>
        <v>1.0884848484848484</v>
      </c>
      <c r="L561" s="18">
        <f t="shared" si="17"/>
        <v>8</v>
      </c>
      <c r="M561" s="20">
        <f>G561*INDEX(Employees!$E$2:$E$17,MATCH(B561,Employees!$A$2:$A$17,0))</f>
        <v>127.5</v>
      </c>
    </row>
    <row r="562" spans="1:13" ht="18" x14ac:dyDescent="0.2">
      <c r="A562" s="17">
        <v>1448</v>
      </c>
      <c r="B562" s="17">
        <v>20</v>
      </c>
      <c r="C562" s="17" t="s">
        <v>470</v>
      </c>
      <c r="D562" s="17" t="s">
        <v>793</v>
      </c>
      <c r="E562" s="17" t="s">
        <v>792</v>
      </c>
      <c r="F562" s="17">
        <v>376</v>
      </c>
      <c r="G562" s="17">
        <v>6.7</v>
      </c>
      <c r="H562" s="17" t="str">
        <f>INDEX(Employees!$B$2:$B$17,MATCH(B562,Employees!$A$2:$A$17,0))</f>
        <v>Taylor</v>
      </c>
      <c r="I562" s="17" t="str">
        <f>INDEX(Employees!$C$2:$C$17,MATCH(B562,Employees!$A$2:$A$17,0))</f>
        <v>Picker</v>
      </c>
      <c r="J562" s="25">
        <f t="shared" si="16"/>
        <v>56.119402985074622</v>
      </c>
      <c r="K562" s="19">
        <f>IF(J562=0,0,J562/INDEX('Labor Dashboard'!$C$36:$C$39,MATCH(E562,'Labor Dashboard'!$B$36:$B$39,0)))</f>
        <v>1.0203527815468114</v>
      </c>
      <c r="L562" s="18">
        <f t="shared" si="17"/>
        <v>8</v>
      </c>
      <c r="M562" s="20">
        <f>G562*INDEX(Employees!$E$2:$E$17,MATCH(B562,Employees!$A$2:$A$17,0))</f>
        <v>113.9</v>
      </c>
    </row>
    <row r="563" spans="1:13" ht="18" x14ac:dyDescent="0.2">
      <c r="A563" s="17">
        <v>1449</v>
      </c>
      <c r="B563" s="17">
        <v>21</v>
      </c>
      <c r="C563" s="17" t="s">
        <v>470</v>
      </c>
      <c r="D563" s="17" t="s">
        <v>791</v>
      </c>
      <c r="E563" s="17" t="s">
        <v>794</v>
      </c>
      <c r="F563" s="17">
        <v>290</v>
      </c>
      <c r="G563" s="17">
        <v>6.8</v>
      </c>
      <c r="H563" s="17" t="str">
        <f>INDEX(Employees!$B$2:$B$17,MATCH(B563,Employees!$A$2:$A$17,0))</f>
        <v>Riley</v>
      </c>
      <c r="I563" s="17" t="str">
        <f>INDEX(Employees!$C$2:$C$17,MATCH(B563,Employees!$A$2:$A$17,0))</f>
        <v>Packer</v>
      </c>
      <c r="J563" s="25">
        <f t="shared" si="16"/>
        <v>42.647058823529413</v>
      </c>
      <c r="K563" s="19">
        <f>IF(J563=0,0,J563/INDEX('Labor Dashboard'!$C$36:$C$39,MATCH(E563,'Labor Dashboard'!$B$36:$B$39,0)))</f>
        <v>0.94771241830065367</v>
      </c>
      <c r="L563" s="18">
        <f t="shared" si="17"/>
        <v>8</v>
      </c>
      <c r="M563" s="20">
        <f>G563*INDEX(Employees!$E$2:$E$17,MATCH(B563,Employees!$A$2:$A$17,0))</f>
        <v>115.6</v>
      </c>
    </row>
    <row r="564" spans="1:13" ht="18" x14ac:dyDescent="0.2">
      <c r="A564" s="17">
        <v>1450</v>
      </c>
      <c r="B564" s="17">
        <v>22</v>
      </c>
      <c r="C564" s="17" t="s">
        <v>470</v>
      </c>
      <c r="D564" s="17" t="s">
        <v>791</v>
      </c>
      <c r="E564" s="17" t="s">
        <v>794</v>
      </c>
      <c r="F564" s="17">
        <v>411</v>
      </c>
      <c r="G564" s="17">
        <v>8.1999999999999993</v>
      </c>
      <c r="H564" s="17" t="str">
        <f>INDEX(Employees!$B$2:$B$17,MATCH(B564,Employees!$A$2:$A$17,0))</f>
        <v>Avery</v>
      </c>
      <c r="I564" s="17" t="str">
        <f>INDEX(Employees!$C$2:$C$17,MATCH(B564,Employees!$A$2:$A$17,0))</f>
        <v>Packer</v>
      </c>
      <c r="J564" s="25">
        <f t="shared" si="16"/>
        <v>50.121951219512198</v>
      </c>
      <c r="K564" s="19">
        <f>IF(J564=0,0,J564/INDEX('Labor Dashboard'!$C$36:$C$39,MATCH(E564,'Labor Dashboard'!$B$36:$B$39,0)))</f>
        <v>1.1138211382113821</v>
      </c>
      <c r="L564" s="18">
        <f t="shared" si="17"/>
        <v>8</v>
      </c>
      <c r="M564" s="20">
        <f>G564*INDEX(Employees!$E$2:$E$17,MATCH(B564,Employees!$A$2:$A$17,0))</f>
        <v>139.39999999999998</v>
      </c>
    </row>
    <row r="565" spans="1:13" ht="18" x14ac:dyDescent="0.2">
      <c r="A565" s="17">
        <v>1451</v>
      </c>
      <c r="B565" s="17">
        <v>23</v>
      </c>
      <c r="C565" s="17" t="s">
        <v>470</v>
      </c>
      <c r="D565" s="17" t="s">
        <v>793</v>
      </c>
      <c r="E565" s="17" t="s">
        <v>794</v>
      </c>
      <c r="F565" s="17">
        <v>363</v>
      </c>
      <c r="G565" s="17">
        <v>6.9</v>
      </c>
      <c r="H565" s="17" t="str">
        <f>INDEX(Employees!$B$2:$B$17,MATCH(B565,Employees!$A$2:$A$17,0))</f>
        <v>Cameron</v>
      </c>
      <c r="I565" s="17" t="str">
        <f>INDEX(Employees!$C$2:$C$17,MATCH(B565,Employees!$A$2:$A$17,0))</f>
        <v>Packer</v>
      </c>
      <c r="J565" s="25">
        <f t="shared" si="16"/>
        <v>52.608695652173907</v>
      </c>
      <c r="K565" s="19">
        <f>IF(J565=0,0,J565/INDEX('Labor Dashboard'!$C$36:$C$39,MATCH(E565,'Labor Dashboard'!$B$36:$B$39,0)))</f>
        <v>1.1690821256038646</v>
      </c>
      <c r="L565" s="18">
        <f t="shared" si="17"/>
        <v>8</v>
      </c>
      <c r="M565" s="20">
        <f>G565*INDEX(Employees!$E$2:$E$17,MATCH(B565,Employees!$A$2:$A$17,0))</f>
        <v>117.30000000000001</v>
      </c>
    </row>
    <row r="566" spans="1:13" ht="18" x14ac:dyDescent="0.2">
      <c r="A566" s="17">
        <v>1452</v>
      </c>
      <c r="B566" s="17">
        <v>24</v>
      </c>
      <c r="C566" s="17" t="s">
        <v>470</v>
      </c>
      <c r="D566" s="17" t="s">
        <v>791</v>
      </c>
      <c r="E566" s="17" t="s">
        <v>795</v>
      </c>
      <c r="F566" s="17">
        <v>270</v>
      </c>
      <c r="G566" s="17">
        <v>8.3000000000000007</v>
      </c>
      <c r="H566" s="17" t="str">
        <f>INDEX(Employees!$B$2:$B$17,MATCH(B566,Employees!$A$2:$A$17,0))</f>
        <v>Dakota</v>
      </c>
      <c r="I566" s="17" t="str">
        <f>INDEX(Employees!$C$2:$C$17,MATCH(B566,Employees!$A$2:$A$17,0))</f>
        <v>Forklift Operator</v>
      </c>
      <c r="J566" s="25">
        <f t="shared" si="16"/>
        <v>32.53012048192771</v>
      </c>
      <c r="K566" s="19">
        <f>IF(J566=0,0,J566/INDEX('Labor Dashboard'!$C$36:$C$39,MATCH(E566,'Labor Dashboard'!$B$36:$B$39,0)))</f>
        <v>1.0843373493975903</v>
      </c>
      <c r="L566" s="18">
        <f t="shared" si="17"/>
        <v>8</v>
      </c>
      <c r="M566" s="20">
        <f>G566*INDEX(Employees!$E$2:$E$17,MATCH(B566,Employees!$A$2:$A$17,0))</f>
        <v>161.85000000000002</v>
      </c>
    </row>
    <row r="567" spans="1:13" ht="18" x14ac:dyDescent="0.2">
      <c r="A567" s="17">
        <v>1453</v>
      </c>
      <c r="B567" s="17">
        <v>25</v>
      </c>
      <c r="C567" s="17" t="s">
        <v>470</v>
      </c>
      <c r="D567" s="17" t="s">
        <v>793</v>
      </c>
      <c r="E567" s="17" t="s">
        <v>795</v>
      </c>
      <c r="F567" s="17">
        <v>273</v>
      </c>
      <c r="G567" s="17">
        <v>8.4</v>
      </c>
      <c r="H567" s="17" t="str">
        <f>INDEX(Employees!$B$2:$B$17,MATCH(B567,Employees!$A$2:$A$17,0))</f>
        <v>Hayden</v>
      </c>
      <c r="I567" s="17" t="str">
        <f>INDEX(Employees!$C$2:$C$17,MATCH(B567,Employees!$A$2:$A$17,0))</f>
        <v>Forklift Operator</v>
      </c>
      <c r="J567" s="25">
        <f t="shared" si="16"/>
        <v>32.5</v>
      </c>
      <c r="K567" s="19">
        <f>IF(J567=0,0,J567/INDEX('Labor Dashboard'!$C$36:$C$39,MATCH(E567,'Labor Dashboard'!$B$36:$B$39,0)))</f>
        <v>1.0833333333333333</v>
      </c>
      <c r="L567" s="18">
        <f t="shared" si="17"/>
        <v>8</v>
      </c>
      <c r="M567" s="20">
        <f>G567*INDEX(Employees!$E$2:$E$17,MATCH(B567,Employees!$A$2:$A$17,0))</f>
        <v>163.80000000000001</v>
      </c>
    </row>
    <row r="568" spans="1:13" ht="18" x14ac:dyDescent="0.2">
      <c r="A568" s="17">
        <v>1454</v>
      </c>
      <c r="B568" s="17">
        <v>26</v>
      </c>
      <c r="C568" s="17" t="s">
        <v>470</v>
      </c>
      <c r="D568" s="17" t="s">
        <v>791</v>
      </c>
      <c r="E568" s="17" t="s">
        <v>795</v>
      </c>
      <c r="F568" s="17">
        <v>198</v>
      </c>
      <c r="G568" s="17">
        <v>7.8</v>
      </c>
      <c r="H568" s="17" t="str">
        <f>INDEX(Employees!$B$2:$B$17,MATCH(B568,Employees!$A$2:$A$17,0))</f>
        <v>Reese</v>
      </c>
      <c r="I568" s="17" t="str">
        <f>INDEX(Employees!$C$2:$C$17,MATCH(B568,Employees!$A$2:$A$17,0))</f>
        <v>Receiving Clerk</v>
      </c>
      <c r="J568" s="25">
        <f t="shared" si="16"/>
        <v>25.384615384615387</v>
      </c>
      <c r="K568" s="19">
        <f>IF(J568=0,0,J568/INDEX('Labor Dashboard'!$C$36:$C$39,MATCH(E568,'Labor Dashboard'!$B$36:$B$39,0)))</f>
        <v>0.84615384615384626</v>
      </c>
      <c r="L568" s="18">
        <f t="shared" si="17"/>
        <v>8</v>
      </c>
      <c r="M568" s="20">
        <f>G568*INDEX(Employees!$E$2:$E$17,MATCH(B568,Employees!$A$2:$A$17,0))</f>
        <v>140.4</v>
      </c>
    </row>
    <row r="569" spans="1:13" ht="18" x14ac:dyDescent="0.2">
      <c r="A569" s="17">
        <v>1455</v>
      </c>
      <c r="B569" s="17">
        <v>27</v>
      </c>
      <c r="C569" s="17" t="s">
        <v>470</v>
      </c>
      <c r="D569" s="17" t="s">
        <v>793</v>
      </c>
      <c r="E569" s="17" t="s">
        <v>795</v>
      </c>
      <c r="F569" s="17">
        <v>160</v>
      </c>
      <c r="G569" s="17">
        <v>6.6</v>
      </c>
      <c r="H569" s="17" t="str">
        <f>INDEX(Employees!$B$2:$B$17,MATCH(B569,Employees!$A$2:$A$17,0))</f>
        <v>Skyler</v>
      </c>
      <c r="I569" s="17" t="str">
        <f>INDEX(Employees!$C$2:$C$17,MATCH(B569,Employees!$A$2:$A$17,0))</f>
        <v>Receiving Clerk</v>
      </c>
      <c r="J569" s="25">
        <f t="shared" si="16"/>
        <v>24.242424242424242</v>
      </c>
      <c r="K569" s="19">
        <f>IF(J569=0,0,J569/INDEX('Labor Dashboard'!$C$36:$C$39,MATCH(E569,'Labor Dashboard'!$B$36:$B$39,0)))</f>
        <v>0.80808080808080807</v>
      </c>
      <c r="L569" s="18">
        <f t="shared" si="17"/>
        <v>8</v>
      </c>
      <c r="M569" s="20">
        <f>G569*INDEX(Employees!$E$2:$E$17,MATCH(B569,Employees!$A$2:$A$17,0))</f>
        <v>118.8</v>
      </c>
    </row>
    <row r="570" spans="1:13" ht="18" x14ac:dyDescent="0.2">
      <c r="A570" s="17">
        <v>1456</v>
      </c>
      <c r="B570" s="17">
        <v>28</v>
      </c>
      <c r="C570" s="17" t="s">
        <v>470</v>
      </c>
      <c r="D570" s="17" t="s">
        <v>793</v>
      </c>
      <c r="E570" s="17" t="s">
        <v>796</v>
      </c>
      <c r="F570" s="17">
        <v>205</v>
      </c>
      <c r="G570" s="17">
        <v>8.1</v>
      </c>
      <c r="H570" s="17" t="str">
        <f>INDEX(Employees!$B$2:$B$17,MATCH(B570,Employees!$A$2:$A$17,0))</f>
        <v>Peyton</v>
      </c>
      <c r="I570" s="17" t="str">
        <f>INDEX(Employees!$C$2:$C$17,MATCH(B570,Employees!$A$2:$A$17,0))</f>
        <v>Cycle Counter</v>
      </c>
      <c r="J570" s="25">
        <f t="shared" si="16"/>
        <v>25.308641975308642</v>
      </c>
      <c r="K570" s="19">
        <f>IF(J570=0,0,J570/INDEX('Labor Dashboard'!$C$36:$C$39,MATCH(E570,'Labor Dashboard'!$B$36:$B$39,0)))</f>
        <v>1.0123456790123457</v>
      </c>
      <c r="L570" s="18">
        <f t="shared" si="17"/>
        <v>8</v>
      </c>
      <c r="M570" s="20">
        <f>G570*INDEX(Employees!$E$2:$E$17,MATCH(B570,Employees!$A$2:$A$17,0))</f>
        <v>145.79999999999998</v>
      </c>
    </row>
    <row r="571" spans="1:13" ht="18" x14ac:dyDescent="0.2">
      <c r="A571" s="17">
        <v>1457</v>
      </c>
      <c r="B571" s="17">
        <v>29</v>
      </c>
      <c r="C571" s="17" t="s">
        <v>470</v>
      </c>
      <c r="D571" s="17" t="s">
        <v>791</v>
      </c>
      <c r="E571" s="17" t="s">
        <v>796</v>
      </c>
      <c r="F571" s="17">
        <v>185</v>
      </c>
      <c r="G571" s="17">
        <v>6.8</v>
      </c>
      <c r="H571" s="17" t="str">
        <f>INDEX(Employees!$B$2:$B$17,MATCH(B571,Employees!$A$2:$A$17,0))</f>
        <v>Rowan</v>
      </c>
      <c r="I571" s="17" t="str">
        <f>INDEX(Employees!$C$2:$C$17,MATCH(B571,Employees!$A$2:$A$17,0))</f>
        <v>Cycle Counter</v>
      </c>
      <c r="J571" s="25">
        <f t="shared" si="16"/>
        <v>27.205882352941178</v>
      </c>
      <c r="K571" s="19">
        <f>IF(J571=0,0,J571/INDEX('Labor Dashboard'!$C$36:$C$39,MATCH(E571,'Labor Dashboard'!$B$36:$B$39,0)))</f>
        <v>1.0882352941176472</v>
      </c>
      <c r="L571" s="18">
        <f t="shared" si="17"/>
        <v>8</v>
      </c>
      <c r="M571" s="20">
        <f>G571*INDEX(Employees!$E$2:$E$17,MATCH(B571,Employees!$A$2:$A$17,0))</f>
        <v>122.39999999999999</v>
      </c>
    </row>
    <row r="572" spans="1:13" ht="18" x14ac:dyDescent="0.2">
      <c r="A572" s="17">
        <v>1458</v>
      </c>
      <c r="B572" s="17">
        <v>30</v>
      </c>
      <c r="C572" s="17" t="s">
        <v>470</v>
      </c>
      <c r="D572" s="17" t="s">
        <v>793</v>
      </c>
      <c r="E572" s="17" t="s">
        <v>795</v>
      </c>
      <c r="F572" s="17">
        <v>189</v>
      </c>
      <c r="G572" s="17">
        <v>7.3</v>
      </c>
      <c r="H572" s="17" t="str">
        <f>INDEX(Employees!$B$2:$B$17,MATCH(B572,Employees!$A$2:$A$17,0))</f>
        <v>Emerson</v>
      </c>
      <c r="I572" s="17" t="str">
        <f>INDEX(Employees!$C$2:$C$17,MATCH(B572,Employees!$A$2:$A$17,0))</f>
        <v>Shift Supervisor</v>
      </c>
      <c r="J572" s="25">
        <f t="shared" si="16"/>
        <v>25.890410958904109</v>
      </c>
      <c r="K572" s="19">
        <f>IF(J572=0,0,J572/INDEX('Labor Dashboard'!$C$36:$C$39,MATCH(E572,'Labor Dashboard'!$B$36:$B$39,0)))</f>
        <v>0.86301369863013699</v>
      </c>
      <c r="L572" s="18">
        <f t="shared" si="17"/>
        <v>8</v>
      </c>
      <c r="M572" s="20">
        <f>G572*INDEX(Employees!$E$2:$E$17,MATCH(B572,Employees!$A$2:$A$17,0))</f>
        <v>175.2</v>
      </c>
    </row>
    <row r="573" spans="1:13" ht="18" x14ac:dyDescent="0.2">
      <c r="A573" s="17">
        <v>1459</v>
      </c>
      <c r="B573" s="17">
        <v>32</v>
      </c>
      <c r="C573" s="17" t="s">
        <v>470</v>
      </c>
      <c r="D573" s="17" t="s">
        <v>791</v>
      </c>
      <c r="E573" s="17" t="s">
        <v>794</v>
      </c>
      <c r="F573" s="17">
        <v>296</v>
      </c>
      <c r="G573" s="17">
        <v>6.7</v>
      </c>
      <c r="H573" s="17" t="str">
        <f>INDEX(Employees!$B$2:$B$17,MATCH(B573,Employees!$A$2:$A$17,0))</f>
        <v>Sawyer</v>
      </c>
      <c r="I573" s="17" t="str">
        <f>INDEX(Employees!$C$2:$C$17,MATCH(B573,Employees!$A$2:$A$17,0))</f>
        <v>Shift Supervisor</v>
      </c>
      <c r="J573" s="25">
        <f t="shared" si="16"/>
        <v>44.179104477611936</v>
      </c>
      <c r="K573" s="19">
        <f>IF(J573=0,0,J573/INDEX('Labor Dashboard'!$C$36:$C$39,MATCH(E573,'Labor Dashboard'!$B$36:$B$39,0)))</f>
        <v>0.9817578772802652</v>
      </c>
      <c r="L573" s="18">
        <f t="shared" si="17"/>
        <v>8</v>
      </c>
      <c r="M573" s="20">
        <f>G573*INDEX(Employees!$E$2:$E$17,MATCH(B573,Employees!$A$2:$A$17,0))</f>
        <v>160.80000000000001</v>
      </c>
    </row>
    <row r="574" spans="1:13" ht="18" x14ac:dyDescent="0.2">
      <c r="A574" s="17">
        <v>1460</v>
      </c>
      <c r="B574" s="17">
        <v>17</v>
      </c>
      <c r="C574" s="17" t="s">
        <v>467</v>
      </c>
      <c r="D574" s="17" t="s">
        <v>791</v>
      </c>
      <c r="E574" s="17" t="s">
        <v>792</v>
      </c>
      <c r="F574" s="17">
        <v>321</v>
      </c>
      <c r="G574" s="17">
        <v>7.1</v>
      </c>
      <c r="H574" s="17" t="str">
        <f>INDEX(Employees!$B$2:$B$17,MATCH(B574,Employees!$A$2:$A$17,0))</f>
        <v>Jordan</v>
      </c>
      <c r="I574" s="17" t="str">
        <f>INDEX(Employees!$C$2:$C$17,MATCH(B574,Employees!$A$2:$A$17,0))</f>
        <v>Picker</v>
      </c>
      <c r="J574" s="25">
        <f t="shared" si="16"/>
        <v>45.211267605633807</v>
      </c>
      <c r="K574" s="19">
        <f>IF(J574=0,0,J574/INDEX('Labor Dashboard'!$C$36:$C$39,MATCH(E574,'Labor Dashboard'!$B$36:$B$39,0)))</f>
        <v>0.82202304737516019</v>
      </c>
      <c r="L574" s="18">
        <f t="shared" si="17"/>
        <v>8</v>
      </c>
      <c r="M574" s="20">
        <f>G574*INDEX(Employees!$E$2:$E$17,MATCH(B574,Employees!$A$2:$A$17,0))</f>
        <v>120.69999999999999</v>
      </c>
    </row>
    <row r="575" spans="1:13" ht="18" x14ac:dyDescent="0.2">
      <c r="A575" s="17">
        <v>1461</v>
      </c>
      <c r="B575" s="17">
        <v>18</v>
      </c>
      <c r="C575" s="17" t="s">
        <v>467</v>
      </c>
      <c r="D575" s="17" t="s">
        <v>791</v>
      </c>
      <c r="E575" s="17" t="s">
        <v>792</v>
      </c>
      <c r="F575" s="17">
        <v>443</v>
      </c>
      <c r="G575" s="17">
        <v>8.1999999999999993</v>
      </c>
      <c r="H575" s="17" t="str">
        <f>INDEX(Employees!$B$2:$B$17,MATCH(B575,Employees!$A$2:$A$17,0))</f>
        <v>Casey</v>
      </c>
      <c r="I575" s="17" t="str">
        <f>INDEX(Employees!$C$2:$C$17,MATCH(B575,Employees!$A$2:$A$17,0))</f>
        <v>Picker</v>
      </c>
      <c r="J575" s="25">
        <f t="shared" si="16"/>
        <v>54.024390243902445</v>
      </c>
      <c r="K575" s="19">
        <f>IF(J575=0,0,J575/INDEX('Labor Dashboard'!$C$36:$C$39,MATCH(E575,'Labor Dashboard'!$B$36:$B$39,0)))</f>
        <v>0.98226164079822631</v>
      </c>
      <c r="L575" s="18">
        <f t="shared" si="17"/>
        <v>8</v>
      </c>
      <c r="M575" s="20">
        <f>G575*INDEX(Employees!$E$2:$E$17,MATCH(B575,Employees!$A$2:$A$17,0))</f>
        <v>139.39999999999998</v>
      </c>
    </row>
    <row r="576" spans="1:13" ht="18" x14ac:dyDescent="0.2">
      <c r="A576" s="17">
        <v>1462</v>
      </c>
      <c r="B576" s="17">
        <v>19</v>
      </c>
      <c r="C576" s="17" t="s">
        <v>467</v>
      </c>
      <c r="D576" s="17" t="s">
        <v>791</v>
      </c>
      <c r="E576" s="17" t="s">
        <v>792</v>
      </c>
      <c r="F576" s="17">
        <v>352</v>
      </c>
      <c r="G576" s="17">
        <v>6.7</v>
      </c>
      <c r="H576" s="17" t="str">
        <f>INDEX(Employees!$B$2:$B$17,MATCH(B576,Employees!$A$2:$A$17,0))</f>
        <v>Morgan</v>
      </c>
      <c r="I576" s="17" t="str">
        <f>INDEX(Employees!$C$2:$C$17,MATCH(B576,Employees!$A$2:$A$17,0))</f>
        <v>Picker</v>
      </c>
      <c r="J576" s="25">
        <f t="shared" si="16"/>
        <v>52.537313432835816</v>
      </c>
      <c r="K576" s="19">
        <f>IF(J576=0,0,J576/INDEX('Labor Dashboard'!$C$36:$C$39,MATCH(E576,'Labor Dashboard'!$B$36:$B$39,0)))</f>
        <v>0.9552238805970148</v>
      </c>
      <c r="L576" s="18">
        <f t="shared" si="17"/>
        <v>8</v>
      </c>
      <c r="M576" s="20">
        <f>G576*INDEX(Employees!$E$2:$E$17,MATCH(B576,Employees!$A$2:$A$17,0))</f>
        <v>113.9</v>
      </c>
    </row>
    <row r="577" spans="1:13" ht="18" x14ac:dyDescent="0.2">
      <c r="A577" s="17">
        <v>1463</v>
      </c>
      <c r="B577" s="17">
        <v>20</v>
      </c>
      <c r="C577" s="17" t="s">
        <v>467</v>
      </c>
      <c r="D577" s="17" t="s">
        <v>793</v>
      </c>
      <c r="E577" s="17" t="s">
        <v>792</v>
      </c>
      <c r="F577" s="17">
        <v>361</v>
      </c>
      <c r="G577" s="17">
        <v>7.3</v>
      </c>
      <c r="H577" s="17" t="str">
        <f>INDEX(Employees!$B$2:$B$17,MATCH(B577,Employees!$A$2:$A$17,0))</f>
        <v>Taylor</v>
      </c>
      <c r="I577" s="17" t="str">
        <f>INDEX(Employees!$C$2:$C$17,MATCH(B577,Employees!$A$2:$A$17,0))</f>
        <v>Picker</v>
      </c>
      <c r="J577" s="25">
        <f t="shared" si="16"/>
        <v>49.452054794520549</v>
      </c>
      <c r="K577" s="19">
        <f>IF(J577=0,0,J577/INDEX('Labor Dashboard'!$C$36:$C$39,MATCH(E577,'Labor Dashboard'!$B$36:$B$39,0)))</f>
        <v>0.89912826899128273</v>
      </c>
      <c r="L577" s="18">
        <f t="shared" si="17"/>
        <v>8</v>
      </c>
      <c r="M577" s="20">
        <f>G577*INDEX(Employees!$E$2:$E$17,MATCH(B577,Employees!$A$2:$A$17,0))</f>
        <v>124.1</v>
      </c>
    </row>
    <row r="578" spans="1:13" ht="18" x14ac:dyDescent="0.2">
      <c r="A578" s="17">
        <v>1464</v>
      </c>
      <c r="B578" s="17">
        <v>21</v>
      </c>
      <c r="C578" s="17" t="s">
        <v>467</v>
      </c>
      <c r="D578" s="17" t="s">
        <v>793</v>
      </c>
      <c r="E578" s="17" t="s">
        <v>794</v>
      </c>
      <c r="F578" s="17">
        <v>254</v>
      </c>
      <c r="G578" s="17">
        <v>6.9</v>
      </c>
      <c r="H578" s="17" t="str">
        <f>INDEX(Employees!$B$2:$B$17,MATCH(B578,Employees!$A$2:$A$17,0))</f>
        <v>Riley</v>
      </c>
      <c r="I578" s="17" t="str">
        <f>INDEX(Employees!$C$2:$C$17,MATCH(B578,Employees!$A$2:$A$17,0))</f>
        <v>Packer</v>
      </c>
      <c r="J578" s="25">
        <f t="shared" ref="J578:J641" si="18">IF(G578=0,0,F578/G578)</f>
        <v>36.811594202898547</v>
      </c>
      <c r="K578" s="19">
        <f>IF(J578=0,0,J578/INDEX('Labor Dashboard'!$C$36:$C$39,MATCH(E578,'Labor Dashboard'!$B$36:$B$39,0)))</f>
        <v>0.81803542673107887</v>
      </c>
      <c r="L578" s="18">
        <f t="shared" ref="L578:L641" si="19">INT((DATEVALUE(C578)-DATE(2026,4,6))/7)</f>
        <v>8</v>
      </c>
      <c r="M578" s="20">
        <f>G578*INDEX(Employees!$E$2:$E$17,MATCH(B578,Employees!$A$2:$A$17,0))</f>
        <v>117.30000000000001</v>
      </c>
    </row>
    <row r="579" spans="1:13" ht="18" x14ac:dyDescent="0.2">
      <c r="A579" s="17">
        <v>1465</v>
      </c>
      <c r="B579" s="17">
        <v>23</v>
      </c>
      <c r="C579" s="17" t="s">
        <v>467</v>
      </c>
      <c r="D579" s="17" t="s">
        <v>791</v>
      </c>
      <c r="E579" s="17" t="s">
        <v>794</v>
      </c>
      <c r="F579" s="17">
        <v>417</v>
      </c>
      <c r="G579" s="17">
        <v>7.9</v>
      </c>
      <c r="H579" s="17" t="str">
        <f>INDEX(Employees!$B$2:$B$17,MATCH(B579,Employees!$A$2:$A$17,0))</f>
        <v>Cameron</v>
      </c>
      <c r="I579" s="17" t="str">
        <f>INDEX(Employees!$C$2:$C$17,MATCH(B579,Employees!$A$2:$A$17,0))</f>
        <v>Packer</v>
      </c>
      <c r="J579" s="25">
        <f t="shared" si="18"/>
        <v>52.784810126582279</v>
      </c>
      <c r="K579" s="19">
        <f>IF(J579=0,0,J579/INDEX('Labor Dashboard'!$C$36:$C$39,MATCH(E579,'Labor Dashboard'!$B$36:$B$39,0)))</f>
        <v>1.1729957805907174</v>
      </c>
      <c r="L579" s="18">
        <f t="shared" si="19"/>
        <v>8</v>
      </c>
      <c r="M579" s="20">
        <f>G579*INDEX(Employees!$E$2:$E$17,MATCH(B579,Employees!$A$2:$A$17,0))</f>
        <v>134.30000000000001</v>
      </c>
    </row>
    <row r="580" spans="1:13" ht="18" x14ac:dyDescent="0.2">
      <c r="A580" s="17">
        <v>1466</v>
      </c>
      <c r="B580" s="17">
        <v>24</v>
      </c>
      <c r="C580" s="17" t="s">
        <v>467</v>
      </c>
      <c r="D580" s="17" t="s">
        <v>791</v>
      </c>
      <c r="E580" s="17" t="s">
        <v>792</v>
      </c>
      <c r="F580" s="17">
        <v>448</v>
      </c>
      <c r="G580" s="17">
        <v>7.7</v>
      </c>
      <c r="H580" s="17" t="str">
        <f>INDEX(Employees!$B$2:$B$17,MATCH(B580,Employees!$A$2:$A$17,0))</f>
        <v>Dakota</v>
      </c>
      <c r="I580" s="17" t="str">
        <f>INDEX(Employees!$C$2:$C$17,MATCH(B580,Employees!$A$2:$A$17,0))</f>
        <v>Forklift Operator</v>
      </c>
      <c r="J580" s="25">
        <f t="shared" si="18"/>
        <v>58.18181818181818</v>
      </c>
      <c r="K580" s="19">
        <f>IF(J580=0,0,J580/INDEX('Labor Dashboard'!$C$36:$C$39,MATCH(E580,'Labor Dashboard'!$B$36:$B$39,0)))</f>
        <v>1.0578512396694215</v>
      </c>
      <c r="L580" s="18">
        <f t="shared" si="19"/>
        <v>8</v>
      </c>
      <c r="M580" s="20">
        <f>G580*INDEX(Employees!$E$2:$E$17,MATCH(B580,Employees!$A$2:$A$17,0))</f>
        <v>150.15</v>
      </c>
    </row>
    <row r="581" spans="1:13" ht="18" x14ac:dyDescent="0.2">
      <c r="A581" s="17">
        <v>1467</v>
      </c>
      <c r="B581" s="17">
        <v>25</v>
      </c>
      <c r="C581" s="17" t="s">
        <v>467</v>
      </c>
      <c r="D581" s="17" t="s">
        <v>793</v>
      </c>
      <c r="E581" s="17" t="s">
        <v>792</v>
      </c>
      <c r="F581" s="17">
        <v>482</v>
      </c>
      <c r="G581" s="17">
        <v>8.5</v>
      </c>
      <c r="H581" s="17" t="str">
        <f>INDEX(Employees!$B$2:$B$17,MATCH(B581,Employees!$A$2:$A$17,0))</f>
        <v>Hayden</v>
      </c>
      <c r="I581" s="17" t="str">
        <f>INDEX(Employees!$C$2:$C$17,MATCH(B581,Employees!$A$2:$A$17,0))</f>
        <v>Forklift Operator</v>
      </c>
      <c r="J581" s="25">
        <f t="shared" si="18"/>
        <v>56.705882352941174</v>
      </c>
      <c r="K581" s="19">
        <f>IF(J581=0,0,J581/INDEX('Labor Dashboard'!$C$36:$C$39,MATCH(E581,'Labor Dashboard'!$B$36:$B$39,0)))</f>
        <v>1.0310160427807487</v>
      </c>
      <c r="L581" s="18">
        <f t="shared" si="19"/>
        <v>8</v>
      </c>
      <c r="M581" s="20">
        <f>G581*INDEX(Employees!$E$2:$E$17,MATCH(B581,Employees!$A$2:$A$17,0))</f>
        <v>165.75</v>
      </c>
    </row>
    <row r="582" spans="1:13" ht="18" x14ac:dyDescent="0.2">
      <c r="A582" s="17">
        <v>1468</v>
      </c>
      <c r="B582" s="17">
        <v>26</v>
      </c>
      <c r="C582" s="17" t="s">
        <v>467</v>
      </c>
      <c r="D582" s="17" t="s">
        <v>793</v>
      </c>
      <c r="E582" s="17" t="s">
        <v>795</v>
      </c>
      <c r="F582" s="17">
        <v>213</v>
      </c>
      <c r="G582" s="17">
        <v>7.7</v>
      </c>
      <c r="H582" s="17" t="str">
        <f>INDEX(Employees!$B$2:$B$17,MATCH(B582,Employees!$A$2:$A$17,0))</f>
        <v>Reese</v>
      </c>
      <c r="I582" s="17" t="str">
        <f>INDEX(Employees!$C$2:$C$17,MATCH(B582,Employees!$A$2:$A$17,0))</f>
        <v>Receiving Clerk</v>
      </c>
      <c r="J582" s="25">
        <f t="shared" si="18"/>
        <v>27.662337662337663</v>
      </c>
      <c r="K582" s="19">
        <f>IF(J582=0,0,J582/INDEX('Labor Dashboard'!$C$36:$C$39,MATCH(E582,'Labor Dashboard'!$B$36:$B$39,0)))</f>
        <v>0.92207792207792205</v>
      </c>
      <c r="L582" s="18">
        <f t="shared" si="19"/>
        <v>8</v>
      </c>
      <c r="M582" s="20">
        <f>G582*INDEX(Employees!$E$2:$E$17,MATCH(B582,Employees!$A$2:$A$17,0))</f>
        <v>138.6</v>
      </c>
    </row>
    <row r="583" spans="1:13" ht="18" x14ac:dyDescent="0.2">
      <c r="A583" s="17">
        <v>1469</v>
      </c>
      <c r="B583" s="17">
        <v>27</v>
      </c>
      <c r="C583" s="17" t="s">
        <v>467</v>
      </c>
      <c r="D583" s="17" t="s">
        <v>793</v>
      </c>
      <c r="E583" s="17" t="s">
        <v>795</v>
      </c>
      <c r="F583" s="17">
        <v>191</v>
      </c>
      <c r="G583" s="17">
        <v>7.9</v>
      </c>
      <c r="H583" s="17" t="str">
        <f>INDEX(Employees!$B$2:$B$17,MATCH(B583,Employees!$A$2:$A$17,0))</f>
        <v>Skyler</v>
      </c>
      <c r="I583" s="17" t="str">
        <f>INDEX(Employees!$C$2:$C$17,MATCH(B583,Employees!$A$2:$A$17,0))</f>
        <v>Receiving Clerk</v>
      </c>
      <c r="J583" s="25">
        <f t="shared" si="18"/>
        <v>24.177215189873415</v>
      </c>
      <c r="K583" s="19">
        <f>IF(J583=0,0,J583/INDEX('Labor Dashboard'!$C$36:$C$39,MATCH(E583,'Labor Dashboard'!$B$36:$B$39,0)))</f>
        <v>0.80590717299578052</v>
      </c>
      <c r="L583" s="18">
        <f t="shared" si="19"/>
        <v>8</v>
      </c>
      <c r="M583" s="20">
        <f>G583*INDEX(Employees!$E$2:$E$17,MATCH(B583,Employees!$A$2:$A$17,0))</f>
        <v>142.20000000000002</v>
      </c>
    </row>
    <row r="584" spans="1:13" ht="18" x14ac:dyDescent="0.2">
      <c r="A584" s="17">
        <v>1470</v>
      </c>
      <c r="B584" s="17">
        <v>29</v>
      </c>
      <c r="C584" s="17" t="s">
        <v>467</v>
      </c>
      <c r="D584" s="17" t="s">
        <v>793</v>
      </c>
      <c r="E584" s="17" t="s">
        <v>796</v>
      </c>
      <c r="F584" s="17">
        <v>191</v>
      </c>
      <c r="G584" s="17">
        <v>7.3</v>
      </c>
      <c r="H584" s="17" t="str">
        <f>INDEX(Employees!$B$2:$B$17,MATCH(B584,Employees!$A$2:$A$17,0))</f>
        <v>Rowan</v>
      </c>
      <c r="I584" s="17" t="str">
        <f>INDEX(Employees!$C$2:$C$17,MATCH(B584,Employees!$A$2:$A$17,0))</f>
        <v>Cycle Counter</v>
      </c>
      <c r="J584" s="25">
        <f t="shared" si="18"/>
        <v>26.164383561643834</v>
      </c>
      <c r="K584" s="19">
        <f>IF(J584=0,0,J584/INDEX('Labor Dashboard'!$C$36:$C$39,MATCH(E584,'Labor Dashboard'!$B$36:$B$39,0)))</f>
        <v>1.0465753424657533</v>
      </c>
      <c r="L584" s="18">
        <f t="shared" si="19"/>
        <v>8</v>
      </c>
      <c r="M584" s="20">
        <f>G584*INDEX(Employees!$E$2:$E$17,MATCH(B584,Employees!$A$2:$A$17,0))</f>
        <v>131.4</v>
      </c>
    </row>
    <row r="585" spans="1:13" ht="18" x14ac:dyDescent="0.2">
      <c r="A585" s="17">
        <v>1471</v>
      </c>
      <c r="B585" s="17">
        <v>30</v>
      </c>
      <c r="C585" s="17" t="s">
        <v>467</v>
      </c>
      <c r="D585" s="17" t="s">
        <v>791</v>
      </c>
      <c r="E585" s="17" t="s">
        <v>794</v>
      </c>
      <c r="F585" s="17">
        <v>271</v>
      </c>
      <c r="G585" s="17">
        <v>7.3</v>
      </c>
      <c r="H585" s="17" t="str">
        <f>INDEX(Employees!$B$2:$B$17,MATCH(B585,Employees!$A$2:$A$17,0))</f>
        <v>Emerson</v>
      </c>
      <c r="I585" s="17" t="str">
        <f>INDEX(Employees!$C$2:$C$17,MATCH(B585,Employees!$A$2:$A$17,0))</f>
        <v>Shift Supervisor</v>
      </c>
      <c r="J585" s="25">
        <f t="shared" si="18"/>
        <v>37.12328767123288</v>
      </c>
      <c r="K585" s="19">
        <f>IF(J585=0,0,J585/INDEX('Labor Dashboard'!$C$36:$C$39,MATCH(E585,'Labor Dashboard'!$B$36:$B$39,0)))</f>
        <v>0.82496194824961955</v>
      </c>
      <c r="L585" s="18">
        <f t="shared" si="19"/>
        <v>8</v>
      </c>
      <c r="M585" s="20">
        <f>G585*INDEX(Employees!$E$2:$E$17,MATCH(B585,Employees!$A$2:$A$17,0))</f>
        <v>175.2</v>
      </c>
    </row>
    <row r="586" spans="1:13" ht="18" x14ac:dyDescent="0.2">
      <c r="A586" s="17">
        <v>1472</v>
      </c>
      <c r="B586" s="17">
        <v>31</v>
      </c>
      <c r="C586" s="17" t="s">
        <v>467</v>
      </c>
      <c r="D586" s="17" t="s">
        <v>793</v>
      </c>
      <c r="E586" s="17" t="s">
        <v>794</v>
      </c>
      <c r="F586" s="17">
        <v>388</v>
      </c>
      <c r="G586" s="17">
        <v>7.4</v>
      </c>
      <c r="H586" s="17" t="str">
        <f>INDEX(Employees!$B$2:$B$17,MATCH(B586,Employees!$A$2:$A$17,0))</f>
        <v>Finley</v>
      </c>
      <c r="I586" s="17" t="str">
        <f>INDEX(Employees!$C$2:$C$17,MATCH(B586,Employees!$A$2:$A$17,0))</f>
        <v>Shift Supervisor</v>
      </c>
      <c r="J586" s="25">
        <f t="shared" si="18"/>
        <v>52.432432432432428</v>
      </c>
      <c r="K586" s="19">
        <f>IF(J586=0,0,J586/INDEX('Labor Dashboard'!$C$36:$C$39,MATCH(E586,'Labor Dashboard'!$B$36:$B$39,0)))</f>
        <v>1.1651651651651651</v>
      </c>
      <c r="L586" s="18">
        <f t="shared" si="19"/>
        <v>8</v>
      </c>
      <c r="M586" s="20">
        <f>G586*INDEX(Employees!$E$2:$E$17,MATCH(B586,Employees!$A$2:$A$17,0))</f>
        <v>177.60000000000002</v>
      </c>
    </row>
    <row r="587" spans="1:13" ht="18" x14ac:dyDescent="0.2">
      <c r="A587" s="17">
        <v>1473</v>
      </c>
      <c r="B587" s="17">
        <v>32</v>
      </c>
      <c r="C587" s="17" t="s">
        <v>467</v>
      </c>
      <c r="D587" s="17" t="s">
        <v>793</v>
      </c>
      <c r="E587" s="17" t="s">
        <v>795</v>
      </c>
      <c r="F587" s="17">
        <v>174</v>
      </c>
      <c r="G587" s="17">
        <v>6.7</v>
      </c>
      <c r="H587" s="17" t="str">
        <f>INDEX(Employees!$B$2:$B$17,MATCH(B587,Employees!$A$2:$A$17,0))</f>
        <v>Sawyer</v>
      </c>
      <c r="I587" s="17" t="str">
        <f>INDEX(Employees!$C$2:$C$17,MATCH(B587,Employees!$A$2:$A$17,0))</f>
        <v>Shift Supervisor</v>
      </c>
      <c r="J587" s="25">
        <f t="shared" si="18"/>
        <v>25.970149253731343</v>
      </c>
      <c r="K587" s="19">
        <f>IF(J587=0,0,J587/INDEX('Labor Dashboard'!$C$36:$C$39,MATCH(E587,'Labor Dashboard'!$B$36:$B$39,0)))</f>
        <v>0.86567164179104472</v>
      </c>
      <c r="L587" s="18">
        <f t="shared" si="19"/>
        <v>8</v>
      </c>
      <c r="M587" s="20">
        <f>G587*INDEX(Employees!$E$2:$E$17,MATCH(B587,Employees!$A$2:$A$17,0))</f>
        <v>160.80000000000001</v>
      </c>
    </row>
    <row r="588" spans="1:13" ht="18" x14ac:dyDescent="0.2">
      <c r="A588" s="17">
        <v>1474</v>
      </c>
      <c r="B588" s="17">
        <v>17</v>
      </c>
      <c r="C588" s="17" t="s">
        <v>480</v>
      </c>
      <c r="D588" s="17" t="s">
        <v>793</v>
      </c>
      <c r="E588" s="17" t="s">
        <v>792</v>
      </c>
      <c r="F588" s="17">
        <v>340</v>
      </c>
      <c r="G588" s="17">
        <v>6.6</v>
      </c>
      <c r="H588" s="17" t="str">
        <f>INDEX(Employees!$B$2:$B$17,MATCH(B588,Employees!$A$2:$A$17,0))</f>
        <v>Jordan</v>
      </c>
      <c r="I588" s="17" t="str">
        <f>INDEX(Employees!$C$2:$C$17,MATCH(B588,Employees!$A$2:$A$17,0))</f>
        <v>Picker</v>
      </c>
      <c r="J588" s="25">
        <f t="shared" si="18"/>
        <v>51.515151515151516</v>
      </c>
      <c r="K588" s="19">
        <f>IF(J588=0,0,J588/INDEX('Labor Dashboard'!$C$36:$C$39,MATCH(E588,'Labor Dashboard'!$B$36:$B$39,0)))</f>
        <v>0.9366391184573003</v>
      </c>
      <c r="L588" s="18">
        <f t="shared" si="19"/>
        <v>8</v>
      </c>
      <c r="M588" s="20">
        <f>G588*INDEX(Employees!$E$2:$E$17,MATCH(B588,Employees!$A$2:$A$17,0))</f>
        <v>112.19999999999999</v>
      </c>
    </row>
    <row r="589" spans="1:13" ht="18" x14ac:dyDescent="0.2">
      <c r="A589" s="17">
        <v>1475</v>
      </c>
      <c r="B589" s="17">
        <v>19</v>
      </c>
      <c r="C589" s="17" t="s">
        <v>480</v>
      </c>
      <c r="D589" s="17" t="s">
        <v>791</v>
      </c>
      <c r="E589" s="17" t="s">
        <v>792</v>
      </c>
      <c r="F589" s="17">
        <v>381</v>
      </c>
      <c r="G589" s="17">
        <v>6.9</v>
      </c>
      <c r="H589" s="17" t="str">
        <f>INDEX(Employees!$B$2:$B$17,MATCH(B589,Employees!$A$2:$A$17,0))</f>
        <v>Morgan</v>
      </c>
      <c r="I589" s="17" t="str">
        <f>INDEX(Employees!$C$2:$C$17,MATCH(B589,Employees!$A$2:$A$17,0))</f>
        <v>Picker</v>
      </c>
      <c r="J589" s="25">
        <f t="shared" si="18"/>
        <v>55.217391304347821</v>
      </c>
      <c r="K589" s="19">
        <f>IF(J589=0,0,J589/INDEX('Labor Dashboard'!$C$36:$C$39,MATCH(E589,'Labor Dashboard'!$B$36:$B$39,0)))</f>
        <v>1.0039525691699605</v>
      </c>
      <c r="L589" s="18">
        <f t="shared" si="19"/>
        <v>8</v>
      </c>
      <c r="M589" s="20">
        <f>G589*INDEX(Employees!$E$2:$E$17,MATCH(B589,Employees!$A$2:$A$17,0))</f>
        <v>117.30000000000001</v>
      </c>
    </row>
    <row r="590" spans="1:13" ht="18" x14ac:dyDescent="0.2">
      <c r="A590" s="17">
        <v>1476</v>
      </c>
      <c r="B590" s="17">
        <v>20</v>
      </c>
      <c r="C590" s="17" t="s">
        <v>480</v>
      </c>
      <c r="D590" s="17" t="s">
        <v>793</v>
      </c>
      <c r="E590" s="17" t="s">
        <v>792</v>
      </c>
      <c r="F590" s="17">
        <v>381</v>
      </c>
      <c r="G590" s="17">
        <v>6.6</v>
      </c>
      <c r="H590" s="17" t="str">
        <f>INDEX(Employees!$B$2:$B$17,MATCH(B590,Employees!$A$2:$A$17,0))</f>
        <v>Taylor</v>
      </c>
      <c r="I590" s="17" t="str">
        <f>INDEX(Employees!$C$2:$C$17,MATCH(B590,Employees!$A$2:$A$17,0))</f>
        <v>Picker</v>
      </c>
      <c r="J590" s="25">
        <f t="shared" si="18"/>
        <v>57.727272727272734</v>
      </c>
      <c r="K590" s="19">
        <f>IF(J590=0,0,J590/INDEX('Labor Dashboard'!$C$36:$C$39,MATCH(E590,'Labor Dashboard'!$B$36:$B$39,0)))</f>
        <v>1.0495867768595042</v>
      </c>
      <c r="L590" s="18">
        <f t="shared" si="19"/>
        <v>8</v>
      </c>
      <c r="M590" s="20">
        <f>G590*INDEX(Employees!$E$2:$E$17,MATCH(B590,Employees!$A$2:$A$17,0))</f>
        <v>112.19999999999999</v>
      </c>
    </row>
    <row r="591" spans="1:13" ht="18" x14ac:dyDescent="0.2">
      <c r="A591" s="17">
        <v>1477</v>
      </c>
      <c r="B591" s="17">
        <v>21</v>
      </c>
      <c r="C591" s="17" t="s">
        <v>480</v>
      </c>
      <c r="D591" s="17" t="s">
        <v>791</v>
      </c>
      <c r="E591" s="17" t="s">
        <v>794</v>
      </c>
      <c r="F591" s="17">
        <v>368</v>
      </c>
      <c r="G591" s="17">
        <v>8.5</v>
      </c>
      <c r="H591" s="17" t="str">
        <f>INDEX(Employees!$B$2:$B$17,MATCH(B591,Employees!$A$2:$A$17,0))</f>
        <v>Riley</v>
      </c>
      <c r="I591" s="17" t="str">
        <f>INDEX(Employees!$C$2:$C$17,MATCH(B591,Employees!$A$2:$A$17,0))</f>
        <v>Packer</v>
      </c>
      <c r="J591" s="25">
        <f t="shared" si="18"/>
        <v>43.294117647058826</v>
      </c>
      <c r="K591" s="19">
        <f>IF(J591=0,0,J591/INDEX('Labor Dashboard'!$C$36:$C$39,MATCH(E591,'Labor Dashboard'!$B$36:$B$39,0)))</f>
        <v>0.96209150326797388</v>
      </c>
      <c r="L591" s="18">
        <f t="shared" si="19"/>
        <v>8</v>
      </c>
      <c r="M591" s="20">
        <f>G591*INDEX(Employees!$E$2:$E$17,MATCH(B591,Employees!$A$2:$A$17,0))</f>
        <v>144.5</v>
      </c>
    </row>
    <row r="592" spans="1:13" ht="18" x14ac:dyDescent="0.2">
      <c r="A592" s="17">
        <v>1478</v>
      </c>
      <c r="B592" s="17">
        <v>22</v>
      </c>
      <c r="C592" s="17" t="s">
        <v>480</v>
      </c>
      <c r="D592" s="17" t="s">
        <v>791</v>
      </c>
      <c r="E592" s="17" t="s">
        <v>794</v>
      </c>
      <c r="F592" s="17">
        <v>343</v>
      </c>
      <c r="G592" s="17">
        <v>7.4</v>
      </c>
      <c r="H592" s="17" t="str">
        <f>INDEX(Employees!$B$2:$B$17,MATCH(B592,Employees!$A$2:$A$17,0))</f>
        <v>Avery</v>
      </c>
      <c r="I592" s="17" t="str">
        <f>INDEX(Employees!$C$2:$C$17,MATCH(B592,Employees!$A$2:$A$17,0))</f>
        <v>Packer</v>
      </c>
      <c r="J592" s="25">
        <f t="shared" si="18"/>
        <v>46.351351351351347</v>
      </c>
      <c r="K592" s="19">
        <f>IF(J592=0,0,J592/INDEX('Labor Dashboard'!$C$36:$C$39,MATCH(E592,'Labor Dashboard'!$B$36:$B$39,0)))</f>
        <v>1.03003003003003</v>
      </c>
      <c r="L592" s="18">
        <f t="shared" si="19"/>
        <v>8</v>
      </c>
      <c r="M592" s="20">
        <f>G592*INDEX(Employees!$E$2:$E$17,MATCH(B592,Employees!$A$2:$A$17,0))</f>
        <v>125.80000000000001</v>
      </c>
    </row>
    <row r="593" spans="1:13" ht="18" x14ac:dyDescent="0.2">
      <c r="A593" s="17">
        <v>1479</v>
      </c>
      <c r="B593" s="17">
        <v>23</v>
      </c>
      <c r="C593" s="17" t="s">
        <v>480</v>
      </c>
      <c r="D593" s="17" t="s">
        <v>791</v>
      </c>
      <c r="E593" s="17" t="s">
        <v>794</v>
      </c>
      <c r="F593" s="17">
        <v>393</v>
      </c>
      <c r="G593" s="17">
        <v>8.4</v>
      </c>
      <c r="H593" s="17" t="str">
        <f>INDEX(Employees!$B$2:$B$17,MATCH(B593,Employees!$A$2:$A$17,0))</f>
        <v>Cameron</v>
      </c>
      <c r="I593" s="17" t="str">
        <f>INDEX(Employees!$C$2:$C$17,MATCH(B593,Employees!$A$2:$A$17,0))</f>
        <v>Packer</v>
      </c>
      <c r="J593" s="25">
        <f t="shared" si="18"/>
        <v>46.785714285714285</v>
      </c>
      <c r="K593" s="19">
        <f>IF(J593=0,0,J593/INDEX('Labor Dashboard'!$C$36:$C$39,MATCH(E593,'Labor Dashboard'!$B$36:$B$39,0)))</f>
        <v>1.0396825396825398</v>
      </c>
      <c r="L593" s="18">
        <f t="shared" si="19"/>
        <v>8</v>
      </c>
      <c r="M593" s="20">
        <f>G593*INDEX(Employees!$E$2:$E$17,MATCH(B593,Employees!$A$2:$A$17,0))</f>
        <v>142.80000000000001</v>
      </c>
    </row>
    <row r="594" spans="1:13" ht="18" x14ac:dyDescent="0.2">
      <c r="A594" s="17">
        <v>1480</v>
      </c>
      <c r="B594" s="17">
        <v>24</v>
      </c>
      <c r="C594" s="17" t="s">
        <v>480</v>
      </c>
      <c r="D594" s="17" t="s">
        <v>791</v>
      </c>
      <c r="E594" s="17" t="s">
        <v>792</v>
      </c>
      <c r="F594" s="17">
        <v>453</v>
      </c>
      <c r="G594" s="17">
        <v>7.8</v>
      </c>
      <c r="H594" s="17" t="str">
        <f>INDEX(Employees!$B$2:$B$17,MATCH(B594,Employees!$A$2:$A$17,0))</f>
        <v>Dakota</v>
      </c>
      <c r="I594" s="17" t="str">
        <f>INDEX(Employees!$C$2:$C$17,MATCH(B594,Employees!$A$2:$A$17,0))</f>
        <v>Forklift Operator</v>
      </c>
      <c r="J594" s="25">
        <f t="shared" si="18"/>
        <v>58.07692307692308</v>
      </c>
      <c r="K594" s="19">
        <f>IF(J594=0,0,J594/INDEX('Labor Dashboard'!$C$36:$C$39,MATCH(E594,'Labor Dashboard'!$B$36:$B$39,0)))</f>
        <v>1.055944055944056</v>
      </c>
      <c r="L594" s="18">
        <f t="shared" si="19"/>
        <v>8</v>
      </c>
      <c r="M594" s="20">
        <f>G594*INDEX(Employees!$E$2:$E$17,MATCH(B594,Employees!$A$2:$A$17,0))</f>
        <v>152.1</v>
      </c>
    </row>
    <row r="595" spans="1:13" ht="18" x14ac:dyDescent="0.2">
      <c r="A595" s="17">
        <v>1481</v>
      </c>
      <c r="B595" s="17">
        <v>25</v>
      </c>
      <c r="C595" s="17" t="s">
        <v>480</v>
      </c>
      <c r="D595" s="17" t="s">
        <v>791</v>
      </c>
      <c r="E595" s="17" t="s">
        <v>792</v>
      </c>
      <c r="F595" s="17">
        <v>432</v>
      </c>
      <c r="G595" s="17">
        <v>8.1</v>
      </c>
      <c r="H595" s="17" t="str">
        <f>INDEX(Employees!$B$2:$B$17,MATCH(B595,Employees!$A$2:$A$17,0))</f>
        <v>Hayden</v>
      </c>
      <c r="I595" s="17" t="str">
        <f>INDEX(Employees!$C$2:$C$17,MATCH(B595,Employees!$A$2:$A$17,0))</f>
        <v>Forklift Operator</v>
      </c>
      <c r="J595" s="25">
        <f t="shared" si="18"/>
        <v>53.333333333333336</v>
      </c>
      <c r="K595" s="19">
        <f>IF(J595=0,0,J595/INDEX('Labor Dashboard'!$C$36:$C$39,MATCH(E595,'Labor Dashboard'!$B$36:$B$39,0)))</f>
        <v>0.96969696969696972</v>
      </c>
      <c r="L595" s="18">
        <f t="shared" si="19"/>
        <v>8</v>
      </c>
      <c r="M595" s="20">
        <f>G595*INDEX(Employees!$E$2:$E$17,MATCH(B595,Employees!$A$2:$A$17,0))</f>
        <v>157.94999999999999</v>
      </c>
    </row>
    <row r="596" spans="1:13" ht="18" x14ac:dyDescent="0.2">
      <c r="A596" s="17">
        <v>1482</v>
      </c>
      <c r="B596" s="17">
        <v>26</v>
      </c>
      <c r="C596" s="17" t="s">
        <v>480</v>
      </c>
      <c r="D596" s="17" t="s">
        <v>791</v>
      </c>
      <c r="E596" s="17" t="s">
        <v>795</v>
      </c>
      <c r="F596" s="17">
        <v>221</v>
      </c>
      <c r="G596" s="17">
        <v>8.4</v>
      </c>
      <c r="H596" s="17" t="str">
        <f>INDEX(Employees!$B$2:$B$17,MATCH(B596,Employees!$A$2:$A$17,0))</f>
        <v>Reese</v>
      </c>
      <c r="I596" s="17" t="str">
        <f>INDEX(Employees!$C$2:$C$17,MATCH(B596,Employees!$A$2:$A$17,0))</f>
        <v>Receiving Clerk</v>
      </c>
      <c r="J596" s="25">
        <f t="shared" si="18"/>
        <v>26.309523809523807</v>
      </c>
      <c r="K596" s="19">
        <f>IF(J596=0,0,J596/INDEX('Labor Dashboard'!$C$36:$C$39,MATCH(E596,'Labor Dashboard'!$B$36:$B$39,0)))</f>
        <v>0.87698412698412687</v>
      </c>
      <c r="L596" s="18">
        <f t="shared" si="19"/>
        <v>8</v>
      </c>
      <c r="M596" s="20">
        <f>G596*INDEX(Employees!$E$2:$E$17,MATCH(B596,Employees!$A$2:$A$17,0))</f>
        <v>151.20000000000002</v>
      </c>
    </row>
    <row r="597" spans="1:13" ht="18" x14ac:dyDescent="0.2">
      <c r="A597" s="17">
        <v>1483</v>
      </c>
      <c r="B597" s="17">
        <v>27</v>
      </c>
      <c r="C597" s="17" t="s">
        <v>480</v>
      </c>
      <c r="D597" s="17" t="s">
        <v>791</v>
      </c>
      <c r="E597" s="17" t="s">
        <v>795</v>
      </c>
      <c r="F597" s="17">
        <v>215</v>
      </c>
      <c r="G597" s="17">
        <v>8.1</v>
      </c>
      <c r="H597" s="17" t="str">
        <f>INDEX(Employees!$B$2:$B$17,MATCH(B597,Employees!$A$2:$A$17,0))</f>
        <v>Skyler</v>
      </c>
      <c r="I597" s="17" t="str">
        <f>INDEX(Employees!$C$2:$C$17,MATCH(B597,Employees!$A$2:$A$17,0))</f>
        <v>Receiving Clerk</v>
      </c>
      <c r="J597" s="25">
        <f t="shared" si="18"/>
        <v>26.543209876543212</v>
      </c>
      <c r="K597" s="19">
        <f>IF(J597=0,0,J597/INDEX('Labor Dashboard'!$C$36:$C$39,MATCH(E597,'Labor Dashboard'!$B$36:$B$39,0)))</f>
        <v>0.88477366255144041</v>
      </c>
      <c r="L597" s="18">
        <f t="shared" si="19"/>
        <v>8</v>
      </c>
      <c r="M597" s="20">
        <f>G597*INDEX(Employees!$E$2:$E$17,MATCH(B597,Employees!$A$2:$A$17,0))</f>
        <v>145.79999999999998</v>
      </c>
    </row>
    <row r="598" spans="1:13" ht="18" x14ac:dyDescent="0.2">
      <c r="A598" s="17">
        <v>1484</v>
      </c>
      <c r="B598" s="17">
        <v>28</v>
      </c>
      <c r="C598" s="17" t="s">
        <v>480</v>
      </c>
      <c r="D598" s="17" t="s">
        <v>793</v>
      </c>
      <c r="E598" s="17" t="s">
        <v>796</v>
      </c>
      <c r="F598" s="17">
        <v>171</v>
      </c>
      <c r="G598" s="17">
        <v>7.6</v>
      </c>
      <c r="H598" s="17" t="str">
        <f>INDEX(Employees!$B$2:$B$17,MATCH(B598,Employees!$A$2:$A$17,0))</f>
        <v>Peyton</v>
      </c>
      <c r="I598" s="17" t="str">
        <f>INDEX(Employees!$C$2:$C$17,MATCH(B598,Employees!$A$2:$A$17,0))</f>
        <v>Cycle Counter</v>
      </c>
      <c r="J598" s="25">
        <f t="shared" si="18"/>
        <v>22.5</v>
      </c>
      <c r="K598" s="19">
        <f>IF(J598=0,0,J598/INDEX('Labor Dashboard'!$C$36:$C$39,MATCH(E598,'Labor Dashboard'!$B$36:$B$39,0)))</f>
        <v>0.9</v>
      </c>
      <c r="L598" s="18">
        <f t="shared" si="19"/>
        <v>8</v>
      </c>
      <c r="M598" s="20">
        <f>G598*INDEX(Employees!$E$2:$E$17,MATCH(B598,Employees!$A$2:$A$17,0))</f>
        <v>136.79999999999998</v>
      </c>
    </row>
    <row r="599" spans="1:13" ht="18" x14ac:dyDescent="0.2">
      <c r="A599" s="17">
        <v>1485</v>
      </c>
      <c r="B599" s="17">
        <v>29</v>
      </c>
      <c r="C599" s="17" t="s">
        <v>480</v>
      </c>
      <c r="D599" s="17" t="s">
        <v>791</v>
      </c>
      <c r="E599" s="17" t="s">
        <v>796</v>
      </c>
      <c r="F599" s="17">
        <v>181</v>
      </c>
      <c r="G599" s="17">
        <v>7.3</v>
      </c>
      <c r="H599" s="17" t="str">
        <f>INDEX(Employees!$B$2:$B$17,MATCH(B599,Employees!$A$2:$A$17,0))</f>
        <v>Rowan</v>
      </c>
      <c r="I599" s="17" t="str">
        <f>INDEX(Employees!$C$2:$C$17,MATCH(B599,Employees!$A$2:$A$17,0))</f>
        <v>Cycle Counter</v>
      </c>
      <c r="J599" s="25">
        <f t="shared" si="18"/>
        <v>24.794520547945208</v>
      </c>
      <c r="K599" s="19">
        <f>IF(J599=0,0,J599/INDEX('Labor Dashboard'!$C$36:$C$39,MATCH(E599,'Labor Dashboard'!$B$36:$B$39,0)))</f>
        <v>0.99178082191780836</v>
      </c>
      <c r="L599" s="18">
        <f t="shared" si="19"/>
        <v>8</v>
      </c>
      <c r="M599" s="20">
        <f>G599*INDEX(Employees!$E$2:$E$17,MATCH(B599,Employees!$A$2:$A$17,0))</f>
        <v>131.4</v>
      </c>
    </row>
    <row r="600" spans="1:13" ht="18" x14ac:dyDescent="0.2">
      <c r="A600" s="17">
        <v>1486</v>
      </c>
      <c r="B600" s="17">
        <v>30</v>
      </c>
      <c r="C600" s="17" t="s">
        <v>480</v>
      </c>
      <c r="D600" s="17" t="s">
        <v>793</v>
      </c>
      <c r="E600" s="17" t="s">
        <v>795</v>
      </c>
      <c r="F600" s="17">
        <v>201</v>
      </c>
      <c r="G600" s="17">
        <v>8.1</v>
      </c>
      <c r="H600" s="17" t="str">
        <f>INDEX(Employees!$B$2:$B$17,MATCH(B600,Employees!$A$2:$A$17,0))</f>
        <v>Emerson</v>
      </c>
      <c r="I600" s="17" t="str">
        <f>INDEX(Employees!$C$2:$C$17,MATCH(B600,Employees!$A$2:$A$17,0))</f>
        <v>Shift Supervisor</v>
      </c>
      <c r="J600" s="25">
        <f t="shared" si="18"/>
        <v>24.814814814814817</v>
      </c>
      <c r="K600" s="19">
        <f>IF(J600=0,0,J600/INDEX('Labor Dashboard'!$C$36:$C$39,MATCH(E600,'Labor Dashboard'!$B$36:$B$39,0)))</f>
        <v>0.8271604938271605</v>
      </c>
      <c r="L600" s="18">
        <f t="shared" si="19"/>
        <v>8</v>
      </c>
      <c r="M600" s="20">
        <f>G600*INDEX(Employees!$E$2:$E$17,MATCH(B600,Employees!$A$2:$A$17,0))</f>
        <v>194.39999999999998</v>
      </c>
    </row>
    <row r="601" spans="1:13" ht="18" x14ac:dyDescent="0.2">
      <c r="A601" s="17">
        <v>1487</v>
      </c>
      <c r="B601" s="17">
        <v>32</v>
      </c>
      <c r="C601" s="17" t="s">
        <v>480</v>
      </c>
      <c r="D601" s="17" t="s">
        <v>793</v>
      </c>
      <c r="E601" s="17" t="s">
        <v>796</v>
      </c>
      <c r="F601" s="17">
        <v>191</v>
      </c>
      <c r="G601" s="17">
        <v>8</v>
      </c>
      <c r="H601" s="17" t="str">
        <f>INDEX(Employees!$B$2:$B$17,MATCH(B601,Employees!$A$2:$A$17,0))</f>
        <v>Sawyer</v>
      </c>
      <c r="I601" s="17" t="str">
        <f>INDEX(Employees!$C$2:$C$17,MATCH(B601,Employees!$A$2:$A$17,0))</f>
        <v>Shift Supervisor</v>
      </c>
      <c r="J601" s="25">
        <f t="shared" si="18"/>
        <v>23.875</v>
      </c>
      <c r="K601" s="19">
        <f>IF(J601=0,0,J601/INDEX('Labor Dashboard'!$C$36:$C$39,MATCH(E601,'Labor Dashboard'!$B$36:$B$39,0)))</f>
        <v>0.95499999999999996</v>
      </c>
      <c r="L601" s="18">
        <f t="shared" si="19"/>
        <v>8</v>
      </c>
      <c r="M601" s="20">
        <f>G601*INDEX(Employees!$E$2:$E$17,MATCH(B601,Employees!$A$2:$A$17,0))</f>
        <v>192</v>
      </c>
    </row>
    <row r="602" spans="1:13" ht="18" x14ac:dyDescent="0.2">
      <c r="A602" s="17">
        <v>1488</v>
      </c>
      <c r="B602" s="17">
        <v>17</v>
      </c>
      <c r="C602" s="17" t="s">
        <v>498</v>
      </c>
      <c r="D602" s="17" t="s">
        <v>791</v>
      </c>
      <c r="E602" s="17" t="s">
        <v>792</v>
      </c>
      <c r="F602" s="17">
        <v>367</v>
      </c>
      <c r="G602" s="17">
        <v>7.1</v>
      </c>
      <c r="H602" s="17" t="str">
        <f>INDEX(Employees!$B$2:$B$17,MATCH(B602,Employees!$A$2:$A$17,0))</f>
        <v>Jordan</v>
      </c>
      <c r="I602" s="17" t="str">
        <f>INDEX(Employees!$C$2:$C$17,MATCH(B602,Employees!$A$2:$A$17,0))</f>
        <v>Picker</v>
      </c>
      <c r="J602" s="25">
        <f t="shared" si="18"/>
        <v>51.690140845070424</v>
      </c>
      <c r="K602" s="19">
        <f>IF(J602=0,0,J602/INDEX('Labor Dashboard'!$C$36:$C$39,MATCH(E602,'Labor Dashboard'!$B$36:$B$39,0)))</f>
        <v>0.93982074263764404</v>
      </c>
      <c r="L602" s="18">
        <f t="shared" si="19"/>
        <v>8</v>
      </c>
      <c r="M602" s="20">
        <f>G602*INDEX(Employees!$E$2:$E$17,MATCH(B602,Employees!$A$2:$A$17,0))</f>
        <v>120.69999999999999</v>
      </c>
    </row>
    <row r="603" spans="1:13" ht="18" x14ac:dyDescent="0.2">
      <c r="A603" s="17">
        <v>1489</v>
      </c>
      <c r="B603" s="17">
        <v>18</v>
      </c>
      <c r="C603" s="17" t="s">
        <v>498</v>
      </c>
      <c r="D603" s="17" t="s">
        <v>791</v>
      </c>
      <c r="E603" s="17" t="s">
        <v>792</v>
      </c>
      <c r="F603" s="17">
        <v>460</v>
      </c>
      <c r="G603" s="17">
        <v>7.4</v>
      </c>
      <c r="H603" s="17" t="str">
        <f>INDEX(Employees!$B$2:$B$17,MATCH(B603,Employees!$A$2:$A$17,0))</f>
        <v>Casey</v>
      </c>
      <c r="I603" s="17" t="str">
        <f>INDEX(Employees!$C$2:$C$17,MATCH(B603,Employees!$A$2:$A$17,0))</f>
        <v>Picker</v>
      </c>
      <c r="J603" s="25">
        <f t="shared" si="18"/>
        <v>62.162162162162161</v>
      </c>
      <c r="K603" s="19">
        <f>IF(J603=0,0,J603/INDEX('Labor Dashboard'!$C$36:$C$39,MATCH(E603,'Labor Dashboard'!$B$36:$B$39,0)))</f>
        <v>1.1302211302211302</v>
      </c>
      <c r="L603" s="18">
        <f t="shared" si="19"/>
        <v>8</v>
      </c>
      <c r="M603" s="20">
        <f>G603*INDEX(Employees!$E$2:$E$17,MATCH(B603,Employees!$A$2:$A$17,0))</f>
        <v>125.80000000000001</v>
      </c>
    </row>
    <row r="604" spans="1:13" ht="18" x14ac:dyDescent="0.2">
      <c r="A604" s="17">
        <v>1490</v>
      </c>
      <c r="B604" s="17">
        <v>19</v>
      </c>
      <c r="C604" s="17" t="s">
        <v>498</v>
      </c>
      <c r="D604" s="17" t="s">
        <v>793</v>
      </c>
      <c r="E604" s="17" t="s">
        <v>792</v>
      </c>
      <c r="F604" s="17">
        <v>438</v>
      </c>
      <c r="G604" s="17">
        <v>8.1999999999999993</v>
      </c>
      <c r="H604" s="17" t="str">
        <f>INDEX(Employees!$B$2:$B$17,MATCH(B604,Employees!$A$2:$A$17,0))</f>
        <v>Morgan</v>
      </c>
      <c r="I604" s="17" t="str">
        <f>INDEX(Employees!$C$2:$C$17,MATCH(B604,Employees!$A$2:$A$17,0))</f>
        <v>Picker</v>
      </c>
      <c r="J604" s="25">
        <f t="shared" si="18"/>
        <v>53.41463414634147</v>
      </c>
      <c r="K604" s="19">
        <f>IF(J604=0,0,J604/INDEX('Labor Dashboard'!$C$36:$C$39,MATCH(E604,'Labor Dashboard'!$B$36:$B$39,0)))</f>
        <v>0.97117516629711764</v>
      </c>
      <c r="L604" s="18">
        <f t="shared" si="19"/>
        <v>8</v>
      </c>
      <c r="M604" s="20">
        <f>G604*INDEX(Employees!$E$2:$E$17,MATCH(B604,Employees!$A$2:$A$17,0))</f>
        <v>139.39999999999998</v>
      </c>
    </row>
    <row r="605" spans="1:13" ht="18" x14ac:dyDescent="0.2">
      <c r="A605" s="17">
        <v>1491</v>
      </c>
      <c r="B605" s="17">
        <v>21</v>
      </c>
      <c r="C605" s="17" t="s">
        <v>498</v>
      </c>
      <c r="D605" s="17" t="s">
        <v>791</v>
      </c>
      <c r="E605" s="17" t="s">
        <v>794</v>
      </c>
      <c r="F605" s="17">
        <v>304</v>
      </c>
      <c r="G605" s="17">
        <v>7.3</v>
      </c>
      <c r="H605" s="17" t="str">
        <f>INDEX(Employees!$B$2:$B$17,MATCH(B605,Employees!$A$2:$A$17,0))</f>
        <v>Riley</v>
      </c>
      <c r="I605" s="17" t="str">
        <f>INDEX(Employees!$C$2:$C$17,MATCH(B605,Employees!$A$2:$A$17,0))</f>
        <v>Packer</v>
      </c>
      <c r="J605" s="25">
        <f t="shared" si="18"/>
        <v>41.643835616438359</v>
      </c>
      <c r="K605" s="19">
        <f>IF(J605=0,0,J605/INDEX('Labor Dashboard'!$C$36:$C$39,MATCH(E605,'Labor Dashboard'!$B$36:$B$39,0)))</f>
        <v>0.92541856925418575</v>
      </c>
      <c r="L605" s="18">
        <f t="shared" si="19"/>
        <v>8</v>
      </c>
      <c r="M605" s="20">
        <f>G605*INDEX(Employees!$E$2:$E$17,MATCH(B605,Employees!$A$2:$A$17,0))</f>
        <v>124.1</v>
      </c>
    </row>
    <row r="606" spans="1:13" ht="18" x14ac:dyDescent="0.2">
      <c r="A606" s="17">
        <v>1492</v>
      </c>
      <c r="B606" s="17">
        <v>23</v>
      </c>
      <c r="C606" s="17" t="s">
        <v>498</v>
      </c>
      <c r="D606" s="17" t="s">
        <v>791</v>
      </c>
      <c r="E606" s="17" t="s">
        <v>794</v>
      </c>
      <c r="F606" s="17">
        <v>328</v>
      </c>
      <c r="G606" s="17">
        <v>7.2</v>
      </c>
      <c r="H606" s="17" t="str">
        <f>INDEX(Employees!$B$2:$B$17,MATCH(B606,Employees!$A$2:$A$17,0))</f>
        <v>Cameron</v>
      </c>
      <c r="I606" s="17" t="str">
        <f>INDEX(Employees!$C$2:$C$17,MATCH(B606,Employees!$A$2:$A$17,0))</f>
        <v>Packer</v>
      </c>
      <c r="J606" s="25">
        <f t="shared" si="18"/>
        <v>45.555555555555557</v>
      </c>
      <c r="K606" s="19">
        <f>IF(J606=0,0,J606/INDEX('Labor Dashboard'!$C$36:$C$39,MATCH(E606,'Labor Dashboard'!$B$36:$B$39,0)))</f>
        <v>1.0123456790123457</v>
      </c>
      <c r="L606" s="18">
        <f t="shared" si="19"/>
        <v>8</v>
      </c>
      <c r="M606" s="20">
        <f>G606*INDEX(Employees!$E$2:$E$17,MATCH(B606,Employees!$A$2:$A$17,0))</f>
        <v>122.4</v>
      </c>
    </row>
    <row r="607" spans="1:13" ht="18" x14ac:dyDescent="0.2">
      <c r="A607" s="17">
        <v>1493</v>
      </c>
      <c r="B607" s="17">
        <v>24</v>
      </c>
      <c r="C607" s="17" t="s">
        <v>498</v>
      </c>
      <c r="D607" s="17" t="s">
        <v>791</v>
      </c>
      <c r="E607" s="17" t="s">
        <v>795</v>
      </c>
      <c r="F607" s="17">
        <v>266</v>
      </c>
      <c r="G607" s="17">
        <v>8.5</v>
      </c>
      <c r="H607" s="17" t="str">
        <f>INDEX(Employees!$B$2:$B$17,MATCH(B607,Employees!$A$2:$A$17,0))</f>
        <v>Dakota</v>
      </c>
      <c r="I607" s="17" t="str">
        <f>INDEX(Employees!$C$2:$C$17,MATCH(B607,Employees!$A$2:$A$17,0))</f>
        <v>Forklift Operator</v>
      </c>
      <c r="J607" s="25">
        <f t="shared" si="18"/>
        <v>31.294117647058822</v>
      </c>
      <c r="K607" s="19">
        <f>IF(J607=0,0,J607/INDEX('Labor Dashboard'!$C$36:$C$39,MATCH(E607,'Labor Dashboard'!$B$36:$B$39,0)))</f>
        <v>1.0431372549019609</v>
      </c>
      <c r="L607" s="18">
        <f t="shared" si="19"/>
        <v>8</v>
      </c>
      <c r="M607" s="20">
        <f>G607*INDEX(Employees!$E$2:$E$17,MATCH(B607,Employees!$A$2:$A$17,0))</f>
        <v>165.75</v>
      </c>
    </row>
    <row r="608" spans="1:13" ht="18" x14ac:dyDescent="0.2">
      <c r="A608" s="17">
        <v>1494</v>
      </c>
      <c r="B608" s="17">
        <v>25</v>
      </c>
      <c r="C608" s="17" t="s">
        <v>498</v>
      </c>
      <c r="D608" s="17" t="s">
        <v>791</v>
      </c>
      <c r="E608" s="17" t="s">
        <v>795</v>
      </c>
      <c r="F608" s="17">
        <v>228</v>
      </c>
      <c r="G608" s="17">
        <v>8.4</v>
      </c>
      <c r="H608" s="17" t="str">
        <f>INDEX(Employees!$B$2:$B$17,MATCH(B608,Employees!$A$2:$A$17,0))</f>
        <v>Hayden</v>
      </c>
      <c r="I608" s="17" t="str">
        <f>INDEX(Employees!$C$2:$C$17,MATCH(B608,Employees!$A$2:$A$17,0))</f>
        <v>Forklift Operator</v>
      </c>
      <c r="J608" s="25">
        <f t="shared" si="18"/>
        <v>27.142857142857142</v>
      </c>
      <c r="K608" s="19">
        <f>IF(J608=0,0,J608/INDEX('Labor Dashboard'!$C$36:$C$39,MATCH(E608,'Labor Dashboard'!$B$36:$B$39,0)))</f>
        <v>0.90476190476190477</v>
      </c>
      <c r="L608" s="18">
        <f t="shared" si="19"/>
        <v>8</v>
      </c>
      <c r="M608" s="20">
        <f>G608*INDEX(Employees!$E$2:$E$17,MATCH(B608,Employees!$A$2:$A$17,0))</f>
        <v>163.80000000000001</v>
      </c>
    </row>
    <row r="609" spans="1:13" ht="18" x14ac:dyDescent="0.2">
      <c r="A609" s="17">
        <v>1495</v>
      </c>
      <c r="B609" s="17">
        <v>26</v>
      </c>
      <c r="C609" s="17" t="s">
        <v>498</v>
      </c>
      <c r="D609" s="17" t="s">
        <v>791</v>
      </c>
      <c r="E609" s="17" t="s">
        <v>795</v>
      </c>
      <c r="F609" s="17">
        <v>183</v>
      </c>
      <c r="G609" s="17">
        <v>6.9</v>
      </c>
      <c r="H609" s="17" t="str">
        <f>INDEX(Employees!$B$2:$B$17,MATCH(B609,Employees!$A$2:$A$17,0))</f>
        <v>Reese</v>
      </c>
      <c r="I609" s="17" t="str">
        <f>INDEX(Employees!$C$2:$C$17,MATCH(B609,Employees!$A$2:$A$17,0))</f>
        <v>Receiving Clerk</v>
      </c>
      <c r="J609" s="25">
        <f t="shared" si="18"/>
        <v>26.521739130434781</v>
      </c>
      <c r="K609" s="19">
        <f>IF(J609=0,0,J609/INDEX('Labor Dashboard'!$C$36:$C$39,MATCH(E609,'Labor Dashboard'!$B$36:$B$39,0)))</f>
        <v>0.88405797101449268</v>
      </c>
      <c r="L609" s="18">
        <f t="shared" si="19"/>
        <v>8</v>
      </c>
      <c r="M609" s="20">
        <f>G609*INDEX(Employees!$E$2:$E$17,MATCH(B609,Employees!$A$2:$A$17,0))</f>
        <v>124.2</v>
      </c>
    </row>
    <row r="610" spans="1:13" ht="18" x14ac:dyDescent="0.2">
      <c r="A610" s="17">
        <v>1496</v>
      </c>
      <c r="B610" s="17">
        <v>27</v>
      </c>
      <c r="C610" s="17" t="s">
        <v>498</v>
      </c>
      <c r="D610" s="17" t="s">
        <v>793</v>
      </c>
      <c r="E610" s="17" t="s">
        <v>795</v>
      </c>
      <c r="F610" s="17">
        <v>185</v>
      </c>
      <c r="G610" s="17">
        <v>7.7</v>
      </c>
      <c r="H610" s="17" t="str">
        <f>INDEX(Employees!$B$2:$B$17,MATCH(B610,Employees!$A$2:$A$17,0))</f>
        <v>Skyler</v>
      </c>
      <c r="I610" s="17" t="str">
        <f>INDEX(Employees!$C$2:$C$17,MATCH(B610,Employees!$A$2:$A$17,0))</f>
        <v>Receiving Clerk</v>
      </c>
      <c r="J610" s="25">
        <f t="shared" si="18"/>
        <v>24.025974025974026</v>
      </c>
      <c r="K610" s="19">
        <f>IF(J610=0,0,J610/INDEX('Labor Dashboard'!$C$36:$C$39,MATCH(E610,'Labor Dashboard'!$B$36:$B$39,0)))</f>
        <v>0.80086580086580084</v>
      </c>
      <c r="L610" s="18">
        <f t="shared" si="19"/>
        <v>8</v>
      </c>
      <c r="M610" s="20">
        <f>G610*INDEX(Employees!$E$2:$E$17,MATCH(B610,Employees!$A$2:$A$17,0))</f>
        <v>138.6</v>
      </c>
    </row>
    <row r="611" spans="1:13" ht="18" x14ac:dyDescent="0.2">
      <c r="A611" s="17">
        <v>1497</v>
      </c>
      <c r="B611" s="17">
        <v>28</v>
      </c>
      <c r="C611" s="17" t="s">
        <v>498</v>
      </c>
      <c r="D611" s="17" t="s">
        <v>793</v>
      </c>
      <c r="E611" s="17" t="s">
        <v>796</v>
      </c>
      <c r="F611" s="17">
        <v>175</v>
      </c>
      <c r="G611" s="17">
        <v>6.9</v>
      </c>
      <c r="H611" s="17" t="str">
        <f>INDEX(Employees!$B$2:$B$17,MATCH(B611,Employees!$A$2:$A$17,0))</f>
        <v>Peyton</v>
      </c>
      <c r="I611" s="17" t="str">
        <f>INDEX(Employees!$C$2:$C$17,MATCH(B611,Employees!$A$2:$A$17,0))</f>
        <v>Cycle Counter</v>
      </c>
      <c r="J611" s="25">
        <f t="shared" si="18"/>
        <v>25.362318840579707</v>
      </c>
      <c r="K611" s="19">
        <f>IF(J611=0,0,J611/INDEX('Labor Dashboard'!$C$36:$C$39,MATCH(E611,'Labor Dashboard'!$B$36:$B$39,0)))</f>
        <v>1.0144927536231882</v>
      </c>
      <c r="L611" s="18">
        <f t="shared" si="19"/>
        <v>8</v>
      </c>
      <c r="M611" s="20">
        <f>G611*INDEX(Employees!$E$2:$E$17,MATCH(B611,Employees!$A$2:$A$17,0))</f>
        <v>124.2</v>
      </c>
    </row>
    <row r="612" spans="1:13" ht="18" x14ac:dyDescent="0.2">
      <c r="A612" s="17">
        <v>1498</v>
      </c>
      <c r="B612" s="17">
        <v>29</v>
      </c>
      <c r="C612" s="17" t="s">
        <v>498</v>
      </c>
      <c r="D612" s="17" t="s">
        <v>793</v>
      </c>
      <c r="E612" s="17" t="s">
        <v>796</v>
      </c>
      <c r="F612" s="17">
        <v>182</v>
      </c>
      <c r="G612" s="17">
        <v>7.3</v>
      </c>
      <c r="H612" s="17" t="str">
        <f>INDEX(Employees!$B$2:$B$17,MATCH(B612,Employees!$A$2:$A$17,0))</f>
        <v>Rowan</v>
      </c>
      <c r="I612" s="17" t="str">
        <f>INDEX(Employees!$C$2:$C$17,MATCH(B612,Employees!$A$2:$A$17,0))</f>
        <v>Cycle Counter</v>
      </c>
      <c r="J612" s="25">
        <f t="shared" si="18"/>
        <v>24.93150684931507</v>
      </c>
      <c r="K612" s="19">
        <f>IF(J612=0,0,J612/INDEX('Labor Dashboard'!$C$36:$C$39,MATCH(E612,'Labor Dashboard'!$B$36:$B$39,0)))</f>
        <v>0.99726027397260286</v>
      </c>
      <c r="L612" s="18">
        <f t="shared" si="19"/>
        <v>8</v>
      </c>
      <c r="M612" s="20">
        <f>G612*INDEX(Employees!$E$2:$E$17,MATCH(B612,Employees!$A$2:$A$17,0))</f>
        <v>131.4</v>
      </c>
    </row>
    <row r="613" spans="1:13" ht="18" x14ac:dyDescent="0.2">
      <c r="A613" s="17">
        <v>1499</v>
      </c>
      <c r="B613" s="17">
        <v>30</v>
      </c>
      <c r="C613" s="17" t="s">
        <v>498</v>
      </c>
      <c r="D613" s="17" t="s">
        <v>793</v>
      </c>
      <c r="E613" s="17" t="s">
        <v>795</v>
      </c>
      <c r="F613" s="17">
        <v>183</v>
      </c>
      <c r="G613" s="17">
        <v>6.8</v>
      </c>
      <c r="H613" s="17" t="str">
        <f>INDEX(Employees!$B$2:$B$17,MATCH(B613,Employees!$A$2:$A$17,0))</f>
        <v>Emerson</v>
      </c>
      <c r="I613" s="17" t="str">
        <f>INDEX(Employees!$C$2:$C$17,MATCH(B613,Employees!$A$2:$A$17,0))</f>
        <v>Shift Supervisor</v>
      </c>
      <c r="J613" s="25">
        <f t="shared" si="18"/>
        <v>26.911764705882355</v>
      </c>
      <c r="K613" s="19">
        <f>IF(J613=0,0,J613/INDEX('Labor Dashboard'!$C$36:$C$39,MATCH(E613,'Labor Dashboard'!$B$36:$B$39,0)))</f>
        <v>0.8970588235294118</v>
      </c>
      <c r="L613" s="18">
        <f t="shared" si="19"/>
        <v>8</v>
      </c>
      <c r="M613" s="20">
        <f>G613*INDEX(Employees!$E$2:$E$17,MATCH(B613,Employees!$A$2:$A$17,0))</f>
        <v>163.19999999999999</v>
      </c>
    </row>
    <row r="614" spans="1:13" ht="18" x14ac:dyDescent="0.2">
      <c r="A614" s="17">
        <v>1500</v>
      </c>
      <c r="B614" s="17">
        <v>31</v>
      </c>
      <c r="C614" s="17" t="s">
        <v>498</v>
      </c>
      <c r="D614" s="17" t="s">
        <v>791</v>
      </c>
      <c r="E614" s="17" t="s">
        <v>794</v>
      </c>
      <c r="F614" s="17">
        <v>406</v>
      </c>
      <c r="G614" s="17">
        <v>8.3000000000000007</v>
      </c>
      <c r="H614" s="17" t="str">
        <f>INDEX(Employees!$B$2:$B$17,MATCH(B614,Employees!$A$2:$A$17,0))</f>
        <v>Finley</v>
      </c>
      <c r="I614" s="17" t="str">
        <f>INDEX(Employees!$C$2:$C$17,MATCH(B614,Employees!$A$2:$A$17,0))</f>
        <v>Shift Supervisor</v>
      </c>
      <c r="J614" s="25">
        <f t="shared" si="18"/>
        <v>48.915662650602407</v>
      </c>
      <c r="K614" s="19">
        <f>IF(J614=0,0,J614/INDEX('Labor Dashboard'!$C$36:$C$39,MATCH(E614,'Labor Dashboard'!$B$36:$B$39,0)))</f>
        <v>1.0870147255689424</v>
      </c>
      <c r="L614" s="18">
        <f t="shared" si="19"/>
        <v>8</v>
      </c>
      <c r="M614" s="20">
        <f>G614*INDEX(Employees!$E$2:$E$17,MATCH(B614,Employees!$A$2:$A$17,0))</f>
        <v>199.20000000000002</v>
      </c>
    </row>
    <row r="615" spans="1:13" ht="18" x14ac:dyDescent="0.2">
      <c r="A615" s="17">
        <v>1501</v>
      </c>
      <c r="B615" s="17">
        <v>32</v>
      </c>
      <c r="C615" s="17" t="s">
        <v>498</v>
      </c>
      <c r="D615" s="17" t="s">
        <v>791</v>
      </c>
      <c r="E615" s="17" t="s">
        <v>792</v>
      </c>
      <c r="F615" s="17">
        <v>318</v>
      </c>
      <c r="G615" s="17">
        <v>6.5</v>
      </c>
      <c r="H615" s="17" t="str">
        <f>INDEX(Employees!$B$2:$B$17,MATCH(B615,Employees!$A$2:$A$17,0))</f>
        <v>Sawyer</v>
      </c>
      <c r="I615" s="17" t="str">
        <f>INDEX(Employees!$C$2:$C$17,MATCH(B615,Employees!$A$2:$A$17,0))</f>
        <v>Shift Supervisor</v>
      </c>
      <c r="J615" s="25">
        <f t="shared" si="18"/>
        <v>48.92307692307692</v>
      </c>
      <c r="K615" s="19">
        <f>IF(J615=0,0,J615/INDEX('Labor Dashboard'!$C$36:$C$39,MATCH(E615,'Labor Dashboard'!$B$36:$B$39,0)))</f>
        <v>0.8895104895104895</v>
      </c>
      <c r="L615" s="18">
        <f t="shared" si="19"/>
        <v>8</v>
      </c>
      <c r="M615" s="20">
        <f>G615*INDEX(Employees!$E$2:$E$17,MATCH(B615,Employees!$A$2:$A$17,0))</f>
        <v>156</v>
      </c>
    </row>
    <row r="616" spans="1:13" ht="18" x14ac:dyDescent="0.2">
      <c r="A616" s="17">
        <v>1502</v>
      </c>
      <c r="B616" s="17">
        <v>17</v>
      </c>
      <c r="C616" s="17" t="s">
        <v>181</v>
      </c>
      <c r="D616" s="17" t="s">
        <v>793</v>
      </c>
      <c r="E616" s="17" t="s">
        <v>792</v>
      </c>
      <c r="F616" s="17">
        <v>360</v>
      </c>
      <c r="G616" s="17">
        <v>7.8</v>
      </c>
      <c r="H616" s="17" t="str">
        <f>INDEX(Employees!$B$2:$B$17,MATCH(B616,Employees!$A$2:$A$17,0))</f>
        <v>Jordan</v>
      </c>
      <c r="I616" s="17" t="str">
        <f>INDEX(Employees!$C$2:$C$17,MATCH(B616,Employees!$A$2:$A$17,0))</f>
        <v>Picker</v>
      </c>
      <c r="J616" s="25">
        <f t="shared" si="18"/>
        <v>46.153846153846153</v>
      </c>
      <c r="K616" s="19">
        <f>IF(J616=0,0,J616/INDEX('Labor Dashboard'!$C$36:$C$39,MATCH(E616,'Labor Dashboard'!$B$36:$B$39,0)))</f>
        <v>0.83916083916083917</v>
      </c>
      <c r="L616" s="18">
        <f t="shared" si="19"/>
        <v>9</v>
      </c>
      <c r="M616" s="20">
        <f>G616*INDEX(Employees!$E$2:$E$17,MATCH(B616,Employees!$A$2:$A$17,0))</f>
        <v>132.6</v>
      </c>
    </row>
    <row r="617" spans="1:13" ht="18" x14ac:dyDescent="0.2">
      <c r="A617" s="17">
        <v>1503</v>
      </c>
      <c r="B617" s="17">
        <v>18</v>
      </c>
      <c r="C617" s="17" t="s">
        <v>181</v>
      </c>
      <c r="D617" s="17" t="s">
        <v>793</v>
      </c>
      <c r="E617" s="17" t="s">
        <v>792</v>
      </c>
      <c r="F617" s="17">
        <v>506</v>
      </c>
      <c r="G617" s="17">
        <v>8.1999999999999993</v>
      </c>
      <c r="H617" s="17" t="str">
        <f>INDEX(Employees!$B$2:$B$17,MATCH(B617,Employees!$A$2:$A$17,0))</f>
        <v>Casey</v>
      </c>
      <c r="I617" s="17" t="str">
        <f>INDEX(Employees!$C$2:$C$17,MATCH(B617,Employees!$A$2:$A$17,0))</f>
        <v>Picker</v>
      </c>
      <c r="J617" s="25">
        <f t="shared" si="18"/>
        <v>61.707317073170735</v>
      </c>
      <c r="K617" s="19">
        <f>IF(J617=0,0,J617/INDEX('Labor Dashboard'!$C$36:$C$39,MATCH(E617,'Labor Dashboard'!$B$36:$B$39,0)))</f>
        <v>1.1219512195121952</v>
      </c>
      <c r="L617" s="18">
        <f t="shared" si="19"/>
        <v>9</v>
      </c>
      <c r="M617" s="20">
        <f>G617*INDEX(Employees!$E$2:$E$17,MATCH(B617,Employees!$A$2:$A$17,0))</f>
        <v>139.39999999999998</v>
      </c>
    </row>
    <row r="618" spans="1:13" ht="18" x14ac:dyDescent="0.2">
      <c r="A618" s="17">
        <v>1504</v>
      </c>
      <c r="B618" s="17">
        <v>19</v>
      </c>
      <c r="C618" s="17" t="s">
        <v>181</v>
      </c>
      <c r="D618" s="17" t="s">
        <v>791</v>
      </c>
      <c r="E618" s="17" t="s">
        <v>792</v>
      </c>
      <c r="F618" s="17">
        <v>409</v>
      </c>
      <c r="G618" s="17">
        <v>7</v>
      </c>
      <c r="H618" s="17" t="str">
        <f>INDEX(Employees!$B$2:$B$17,MATCH(B618,Employees!$A$2:$A$17,0))</f>
        <v>Morgan</v>
      </c>
      <c r="I618" s="17" t="str">
        <f>INDEX(Employees!$C$2:$C$17,MATCH(B618,Employees!$A$2:$A$17,0))</f>
        <v>Picker</v>
      </c>
      <c r="J618" s="25">
        <f t="shared" si="18"/>
        <v>58.428571428571431</v>
      </c>
      <c r="K618" s="19">
        <f>IF(J618=0,0,J618/INDEX('Labor Dashboard'!$C$36:$C$39,MATCH(E618,'Labor Dashboard'!$B$36:$B$39,0)))</f>
        <v>1.0623376623376624</v>
      </c>
      <c r="L618" s="18">
        <f t="shared" si="19"/>
        <v>9</v>
      </c>
      <c r="M618" s="20">
        <f>G618*INDEX(Employees!$E$2:$E$17,MATCH(B618,Employees!$A$2:$A$17,0))</f>
        <v>119</v>
      </c>
    </row>
    <row r="619" spans="1:13" ht="18" x14ac:dyDescent="0.2">
      <c r="A619" s="17">
        <v>1505</v>
      </c>
      <c r="B619" s="17">
        <v>20</v>
      </c>
      <c r="C619" s="17" t="s">
        <v>181</v>
      </c>
      <c r="D619" s="17" t="s">
        <v>791</v>
      </c>
      <c r="E619" s="17" t="s">
        <v>792</v>
      </c>
      <c r="F619" s="17">
        <v>374</v>
      </c>
      <c r="G619" s="17">
        <v>6.5</v>
      </c>
      <c r="H619" s="17" t="str">
        <f>INDEX(Employees!$B$2:$B$17,MATCH(B619,Employees!$A$2:$A$17,0))</f>
        <v>Taylor</v>
      </c>
      <c r="I619" s="17" t="str">
        <f>INDEX(Employees!$C$2:$C$17,MATCH(B619,Employees!$A$2:$A$17,0))</f>
        <v>Picker</v>
      </c>
      <c r="J619" s="25">
        <f t="shared" si="18"/>
        <v>57.53846153846154</v>
      </c>
      <c r="K619" s="19">
        <f>IF(J619=0,0,J619/INDEX('Labor Dashboard'!$C$36:$C$39,MATCH(E619,'Labor Dashboard'!$B$36:$B$39,0)))</f>
        <v>1.0461538461538462</v>
      </c>
      <c r="L619" s="18">
        <f t="shared" si="19"/>
        <v>9</v>
      </c>
      <c r="M619" s="20">
        <f>G619*INDEX(Employees!$E$2:$E$17,MATCH(B619,Employees!$A$2:$A$17,0))</f>
        <v>110.5</v>
      </c>
    </row>
    <row r="620" spans="1:13" ht="18" x14ac:dyDescent="0.2">
      <c r="A620" s="17">
        <v>1506</v>
      </c>
      <c r="B620" s="17">
        <v>21</v>
      </c>
      <c r="C620" s="17" t="s">
        <v>181</v>
      </c>
      <c r="D620" s="17" t="s">
        <v>793</v>
      </c>
      <c r="E620" s="17" t="s">
        <v>794</v>
      </c>
      <c r="F620" s="17">
        <v>296</v>
      </c>
      <c r="G620" s="17">
        <v>7.5</v>
      </c>
      <c r="H620" s="17" t="str">
        <f>INDEX(Employees!$B$2:$B$17,MATCH(B620,Employees!$A$2:$A$17,0))</f>
        <v>Riley</v>
      </c>
      <c r="I620" s="17" t="str">
        <f>INDEX(Employees!$C$2:$C$17,MATCH(B620,Employees!$A$2:$A$17,0))</f>
        <v>Packer</v>
      </c>
      <c r="J620" s="25">
        <f t="shared" si="18"/>
        <v>39.466666666666669</v>
      </c>
      <c r="K620" s="19">
        <f>IF(J620=0,0,J620/INDEX('Labor Dashboard'!$C$36:$C$39,MATCH(E620,'Labor Dashboard'!$B$36:$B$39,0)))</f>
        <v>0.87703703703703706</v>
      </c>
      <c r="L620" s="18">
        <f t="shared" si="19"/>
        <v>9</v>
      </c>
      <c r="M620" s="20">
        <f>G620*INDEX(Employees!$E$2:$E$17,MATCH(B620,Employees!$A$2:$A$17,0))</f>
        <v>127.5</v>
      </c>
    </row>
    <row r="621" spans="1:13" ht="18" x14ac:dyDescent="0.2">
      <c r="A621" s="17">
        <v>1507</v>
      </c>
      <c r="B621" s="17">
        <v>22</v>
      </c>
      <c r="C621" s="17" t="s">
        <v>181</v>
      </c>
      <c r="D621" s="17" t="s">
        <v>793</v>
      </c>
      <c r="E621" s="17" t="s">
        <v>794</v>
      </c>
      <c r="F621" s="17">
        <v>374</v>
      </c>
      <c r="G621" s="17">
        <v>7.2</v>
      </c>
      <c r="H621" s="17" t="str">
        <f>INDEX(Employees!$B$2:$B$17,MATCH(B621,Employees!$A$2:$A$17,0))</f>
        <v>Avery</v>
      </c>
      <c r="I621" s="17" t="str">
        <f>INDEX(Employees!$C$2:$C$17,MATCH(B621,Employees!$A$2:$A$17,0))</f>
        <v>Packer</v>
      </c>
      <c r="J621" s="25">
        <f t="shared" si="18"/>
        <v>51.944444444444443</v>
      </c>
      <c r="K621" s="19">
        <f>IF(J621=0,0,J621/INDEX('Labor Dashboard'!$C$36:$C$39,MATCH(E621,'Labor Dashboard'!$B$36:$B$39,0)))</f>
        <v>1.154320987654321</v>
      </c>
      <c r="L621" s="18">
        <f t="shared" si="19"/>
        <v>9</v>
      </c>
      <c r="M621" s="20">
        <f>G621*INDEX(Employees!$E$2:$E$17,MATCH(B621,Employees!$A$2:$A$17,0))</f>
        <v>122.4</v>
      </c>
    </row>
    <row r="622" spans="1:13" ht="18" x14ac:dyDescent="0.2">
      <c r="A622" s="17">
        <v>1508</v>
      </c>
      <c r="B622" s="17">
        <v>23</v>
      </c>
      <c r="C622" s="17" t="s">
        <v>181</v>
      </c>
      <c r="D622" s="17" t="s">
        <v>791</v>
      </c>
      <c r="E622" s="17" t="s">
        <v>794</v>
      </c>
      <c r="F622" s="17">
        <v>363</v>
      </c>
      <c r="G622" s="17">
        <v>7.4</v>
      </c>
      <c r="H622" s="17" t="str">
        <f>INDEX(Employees!$B$2:$B$17,MATCH(B622,Employees!$A$2:$A$17,0))</f>
        <v>Cameron</v>
      </c>
      <c r="I622" s="17" t="str">
        <f>INDEX(Employees!$C$2:$C$17,MATCH(B622,Employees!$A$2:$A$17,0))</f>
        <v>Packer</v>
      </c>
      <c r="J622" s="25">
        <f t="shared" si="18"/>
        <v>49.054054054054049</v>
      </c>
      <c r="K622" s="19">
        <f>IF(J622=0,0,J622/INDEX('Labor Dashboard'!$C$36:$C$39,MATCH(E622,'Labor Dashboard'!$B$36:$B$39,0)))</f>
        <v>1.0900900900900901</v>
      </c>
      <c r="L622" s="18">
        <f t="shared" si="19"/>
        <v>9</v>
      </c>
      <c r="M622" s="20">
        <f>G622*INDEX(Employees!$E$2:$E$17,MATCH(B622,Employees!$A$2:$A$17,0))</f>
        <v>125.80000000000001</v>
      </c>
    </row>
    <row r="623" spans="1:13" ht="18" x14ac:dyDescent="0.2">
      <c r="A623" s="17">
        <v>1509</v>
      </c>
      <c r="B623" s="17">
        <v>24</v>
      </c>
      <c r="C623" s="17" t="s">
        <v>181</v>
      </c>
      <c r="D623" s="17" t="s">
        <v>793</v>
      </c>
      <c r="E623" s="17" t="s">
        <v>792</v>
      </c>
      <c r="F623" s="17">
        <v>453</v>
      </c>
      <c r="G623" s="17">
        <v>7.6</v>
      </c>
      <c r="H623" s="17" t="str">
        <f>INDEX(Employees!$B$2:$B$17,MATCH(B623,Employees!$A$2:$A$17,0))</f>
        <v>Dakota</v>
      </c>
      <c r="I623" s="17" t="str">
        <f>INDEX(Employees!$C$2:$C$17,MATCH(B623,Employees!$A$2:$A$17,0))</f>
        <v>Forklift Operator</v>
      </c>
      <c r="J623" s="25">
        <f t="shared" si="18"/>
        <v>59.60526315789474</v>
      </c>
      <c r="K623" s="19">
        <f>IF(J623=0,0,J623/INDEX('Labor Dashboard'!$C$36:$C$39,MATCH(E623,'Labor Dashboard'!$B$36:$B$39,0)))</f>
        <v>1.0837320574162681</v>
      </c>
      <c r="L623" s="18">
        <f t="shared" si="19"/>
        <v>9</v>
      </c>
      <c r="M623" s="20">
        <f>G623*INDEX(Employees!$E$2:$E$17,MATCH(B623,Employees!$A$2:$A$17,0))</f>
        <v>148.19999999999999</v>
      </c>
    </row>
    <row r="624" spans="1:13" ht="18" x14ac:dyDescent="0.2">
      <c r="A624" s="17">
        <v>1510</v>
      </c>
      <c r="B624" s="17">
        <v>25</v>
      </c>
      <c r="C624" s="17" t="s">
        <v>181</v>
      </c>
      <c r="D624" s="17" t="s">
        <v>793</v>
      </c>
      <c r="E624" s="17" t="s">
        <v>795</v>
      </c>
      <c r="F624" s="17">
        <v>259</v>
      </c>
      <c r="G624" s="17">
        <v>8.1</v>
      </c>
      <c r="H624" s="17" t="str">
        <f>INDEX(Employees!$B$2:$B$17,MATCH(B624,Employees!$A$2:$A$17,0))</f>
        <v>Hayden</v>
      </c>
      <c r="I624" s="17" t="str">
        <f>INDEX(Employees!$C$2:$C$17,MATCH(B624,Employees!$A$2:$A$17,0))</f>
        <v>Forklift Operator</v>
      </c>
      <c r="J624" s="25">
        <f t="shared" si="18"/>
        <v>31.97530864197531</v>
      </c>
      <c r="K624" s="19">
        <f>IF(J624=0,0,J624/INDEX('Labor Dashboard'!$C$36:$C$39,MATCH(E624,'Labor Dashboard'!$B$36:$B$39,0)))</f>
        <v>1.0658436213991771</v>
      </c>
      <c r="L624" s="18">
        <f t="shared" si="19"/>
        <v>9</v>
      </c>
      <c r="M624" s="20">
        <f>G624*INDEX(Employees!$E$2:$E$17,MATCH(B624,Employees!$A$2:$A$17,0))</f>
        <v>157.94999999999999</v>
      </c>
    </row>
    <row r="625" spans="1:13" ht="18" x14ac:dyDescent="0.2">
      <c r="A625" s="17">
        <v>1511</v>
      </c>
      <c r="B625" s="17">
        <v>28</v>
      </c>
      <c r="C625" s="17" t="s">
        <v>181</v>
      </c>
      <c r="D625" s="17" t="s">
        <v>793</v>
      </c>
      <c r="E625" s="17" t="s">
        <v>796</v>
      </c>
      <c r="F625" s="17">
        <v>187</v>
      </c>
      <c r="G625" s="17">
        <v>7.6</v>
      </c>
      <c r="H625" s="17" t="str">
        <f>INDEX(Employees!$B$2:$B$17,MATCH(B625,Employees!$A$2:$A$17,0))</f>
        <v>Peyton</v>
      </c>
      <c r="I625" s="17" t="str">
        <f>INDEX(Employees!$C$2:$C$17,MATCH(B625,Employees!$A$2:$A$17,0))</f>
        <v>Cycle Counter</v>
      </c>
      <c r="J625" s="25">
        <f t="shared" si="18"/>
        <v>24.605263157894736</v>
      </c>
      <c r="K625" s="19">
        <f>IF(J625=0,0,J625/INDEX('Labor Dashboard'!$C$36:$C$39,MATCH(E625,'Labor Dashboard'!$B$36:$B$39,0)))</f>
        <v>0.98421052631578942</v>
      </c>
      <c r="L625" s="18">
        <f t="shared" si="19"/>
        <v>9</v>
      </c>
      <c r="M625" s="20">
        <f>G625*INDEX(Employees!$E$2:$E$17,MATCH(B625,Employees!$A$2:$A$17,0))</f>
        <v>136.79999999999998</v>
      </c>
    </row>
    <row r="626" spans="1:13" ht="18" x14ac:dyDescent="0.2">
      <c r="A626" s="17">
        <v>1512</v>
      </c>
      <c r="B626" s="17">
        <v>29</v>
      </c>
      <c r="C626" s="17" t="s">
        <v>181</v>
      </c>
      <c r="D626" s="17" t="s">
        <v>793</v>
      </c>
      <c r="E626" s="17" t="s">
        <v>796</v>
      </c>
      <c r="F626" s="17">
        <v>173</v>
      </c>
      <c r="G626" s="17">
        <v>7</v>
      </c>
      <c r="H626" s="17" t="str">
        <f>INDEX(Employees!$B$2:$B$17,MATCH(B626,Employees!$A$2:$A$17,0))</f>
        <v>Rowan</v>
      </c>
      <c r="I626" s="17" t="str">
        <f>INDEX(Employees!$C$2:$C$17,MATCH(B626,Employees!$A$2:$A$17,0))</f>
        <v>Cycle Counter</v>
      </c>
      <c r="J626" s="25">
        <f t="shared" si="18"/>
        <v>24.714285714285715</v>
      </c>
      <c r="K626" s="19">
        <f>IF(J626=0,0,J626/INDEX('Labor Dashboard'!$C$36:$C$39,MATCH(E626,'Labor Dashboard'!$B$36:$B$39,0)))</f>
        <v>0.98857142857142866</v>
      </c>
      <c r="L626" s="18">
        <f t="shared" si="19"/>
        <v>9</v>
      </c>
      <c r="M626" s="20">
        <f>G626*INDEX(Employees!$E$2:$E$17,MATCH(B626,Employees!$A$2:$A$17,0))</f>
        <v>126</v>
      </c>
    </row>
    <row r="627" spans="1:13" ht="18" x14ac:dyDescent="0.2">
      <c r="A627" s="17">
        <v>1513</v>
      </c>
      <c r="B627" s="17">
        <v>30</v>
      </c>
      <c r="C627" s="17" t="s">
        <v>181</v>
      </c>
      <c r="D627" s="17" t="s">
        <v>791</v>
      </c>
      <c r="E627" s="17" t="s">
        <v>794</v>
      </c>
      <c r="F627" s="17">
        <v>330</v>
      </c>
      <c r="G627" s="17">
        <v>8.3000000000000007</v>
      </c>
      <c r="H627" s="17" t="str">
        <f>INDEX(Employees!$B$2:$B$17,MATCH(B627,Employees!$A$2:$A$17,0))</f>
        <v>Emerson</v>
      </c>
      <c r="I627" s="17" t="str">
        <f>INDEX(Employees!$C$2:$C$17,MATCH(B627,Employees!$A$2:$A$17,0))</f>
        <v>Shift Supervisor</v>
      </c>
      <c r="J627" s="25">
        <f t="shared" si="18"/>
        <v>39.75903614457831</v>
      </c>
      <c r="K627" s="19">
        <f>IF(J627=0,0,J627/INDEX('Labor Dashboard'!$C$36:$C$39,MATCH(E627,'Labor Dashboard'!$B$36:$B$39,0)))</f>
        <v>0.88353413654618462</v>
      </c>
      <c r="L627" s="18">
        <f t="shared" si="19"/>
        <v>9</v>
      </c>
      <c r="M627" s="20">
        <f>G627*INDEX(Employees!$E$2:$E$17,MATCH(B627,Employees!$A$2:$A$17,0))</f>
        <v>199.20000000000002</v>
      </c>
    </row>
    <row r="628" spans="1:13" ht="18" x14ac:dyDescent="0.2">
      <c r="A628" s="17">
        <v>1514</v>
      </c>
      <c r="B628" s="17">
        <v>31</v>
      </c>
      <c r="C628" s="17" t="s">
        <v>181</v>
      </c>
      <c r="D628" s="17" t="s">
        <v>793</v>
      </c>
      <c r="E628" s="17" t="s">
        <v>795</v>
      </c>
      <c r="F628" s="17">
        <v>245</v>
      </c>
      <c r="G628" s="17">
        <v>7.8</v>
      </c>
      <c r="H628" s="17" t="str">
        <f>INDEX(Employees!$B$2:$B$17,MATCH(B628,Employees!$A$2:$A$17,0))</f>
        <v>Finley</v>
      </c>
      <c r="I628" s="17" t="str">
        <f>INDEX(Employees!$C$2:$C$17,MATCH(B628,Employees!$A$2:$A$17,0))</f>
        <v>Shift Supervisor</v>
      </c>
      <c r="J628" s="25">
        <f t="shared" si="18"/>
        <v>31.410256410256412</v>
      </c>
      <c r="K628" s="19">
        <f>IF(J628=0,0,J628/INDEX('Labor Dashboard'!$C$36:$C$39,MATCH(E628,'Labor Dashboard'!$B$36:$B$39,0)))</f>
        <v>1.0470085470085471</v>
      </c>
      <c r="L628" s="18">
        <f t="shared" si="19"/>
        <v>9</v>
      </c>
      <c r="M628" s="20">
        <f>G628*INDEX(Employees!$E$2:$E$17,MATCH(B628,Employees!$A$2:$A$17,0))</f>
        <v>187.2</v>
      </c>
    </row>
    <row r="629" spans="1:13" ht="18" x14ac:dyDescent="0.2">
      <c r="A629" s="17">
        <v>1515</v>
      </c>
      <c r="B629" s="17">
        <v>32</v>
      </c>
      <c r="C629" s="17" t="s">
        <v>181</v>
      </c>
      <c r="D629" s="17" t="s">
        <v>791</v>
      </c>
      <c r="E629" s="17" t="s">
        <v>792</v>
      </c>
      <c r="F629" s="17">
        <v>461</v>
      </c>
      <c r="G629" s="17">
        <v>8.5</v>
      </c>
      <c r="H629" s="17" t="str">
        <f>INDEX(Employees!$B$2:$B$17,MATCH(B629,Employees!$A$2:$A$17,0))</f>
        <v>Sawyer</v>
      </c>
      <c r="I629" s="17" t="str">
        <f>INDEX(Employees!$C$2:$C$17,MATCH(B629,Employees!$A$2:$A$17,0))</f>
        <v>Shift Supervisor</v>
      </c>
      <c r="J629" s="25">
        <f t="shared" si="18"/>
        <v>54.235294117647058</v>
      </c>
      <c r="K629" s="19">
        <f>IF(J629=0,0,J629/INDEX('Labor Dashboard'!$C$36:$C$39,MATCH(E629,'Labor Dashboard'!$B$36:$B$39,0)))</f>
        <v>0.98609625668449197</v>
      </c>
      <c r="L629" s="18">
        <f t="shared" si="19"/>
        <v>9</v>
      </c>
      <c r="M629" s="20">
        <f>G629*INDEX(Employees!$E$2:$E$17,MATCH(B629,Employees!$A$2:$A$17,0))</f>
        <v>204</v>
      </c>
    </row>
    <row r="630" spans="1:13" ht="18" x14ac:dyDescent="0.2">
      <c r="A630" s="17">
        <v>1516</v>
      </c>
      <c r="B630" s="17">
        <v>17</v>
      </c>
      <c r="C630" s="17" t="s">
        <v>517</v>
      </c>
      <c r="D630" s="17" t="s">
        <v>791</v>
      </c>
      <c r="E630" s="17" t="s">
        <v>792</v>
      </c>
      <c r="F630" s="17">
        <v>360</v>
      </c>
      <c r="G630" s="17">
        <v>7.1</v>
      </c>
      <c r="H630" s="17" t="str">
        <f>INDEX(Employees!$B$2:$B$17,MATCH(B630,Employees!$A$2:$A$17,0))</f>
        <v>Jordan</v>
      </c>
      <c r="I630" s="17" t="str">
        <f>INDEX(Employees!$C$2:$C$17,MATCH(B630,Employees!$A$2:$A$17,0))</f>
        <v>Picker</v>
      </c>
      <c r="J630" s="25">
        <f t="shared" si="18"/>
        <v>50.70422535211268</v>
      </c>
      <c r="K630" s="19">
        <f>IF(J630=0,0,J630/INDEX('Labor Dashboard'!$C$36:$C$39,MATCH(E630,'Labor Dashboard'!$B$36:$B$39,0)))</f>
        <v>0.92189500640204869</v>
      </c>
      <c r="L630" s="18">
        <f t="shared" si="19"/>
        <v>9</v>
      </c>
      <c r="M630" s="20">
        <f>G630*INDEX(Employees!$E$2:$E$17,MATCH(B630,Employees!$A$2:$A$17,0))</f>
        <v>120.69999999999999</v>
      </c>
    </row>
    <row r="631" spans="1:13" ht="18" x14ac:dyDescent="0.2">
      <c r="A631" s="17">
        <v>1517</v>
      </c>
      <c r="B631" s="17">
        <v>18</v>
      </c>
      <c r="C631" s="17" t="s">
        <v>517</v>
      </c>
      <c r="D631" s="17" t="s">
        <v>793</v>
      </c>
      <c r="E631" s="17" t="s">
        <v>792</v>
      </c>
      <c r="F631" s="17">
        <v>373</v>
      </c>
      <c r="G631" s="17">
        <v>6.7</v>
      </c>
      <c r="H631" s="17" t="str">
        <f>INDEX(Employees!$B$2:$B$17,MATCH(B631,Employees!$A$2:$A$17,0))</f>
        <v>Casey</v>
      </c>
      <c r="I631" s="17" t="str">
        <f>INDEX(Employees!$C$2:$C$17,MATCH(B631,Employees!$A$2:$A$17,0))</f>
        <v>Picker</v>
      </c>
      <c r="J631" s="25">
        <f t="shared" si="18"/>
        <v>55.671641791044777</v>
      </c>
      <c r="K631" s="19">
        <f>IF(J631=0,0,J631/INDEX('Labor Dashboard'!$C$36:$C$39,MATCH(E631,'Labor Dashboard'!$B$36:$B$39,0)))</f>
        <v>1.0122116689280869</v>
      </c>
      <c r="L631" s="18">
        <f t="shared" si="19"/>
        <v>9</v>
      </c>
      <c r="M631" s="20">
        <f>G631*INDEX(Employees!$E$2:$E$17,MATCH(B631,Employees!$A$2:$A$17,0))</f>
        <v>113.9</v>
      </c>
    </row>
    <row r="632" spans="1:13" ht="18" x14ac:dyDescent="0.2">
      <c r="A632" s="17">
        <v>1518</v>
      </c>
      <c r="B632" s="17">
        <v>19</v>
      </c>
      <c r="C632" s="17" t="s">
        <v>517</v>
      </c>
      <c r="D632" s="17" t="s">
        <v>793</v>
      </c>
      <c r="E632" s="17" t="s">
        <v>792</v>
      </c>
      <c r="F632" s="17">
        <v>457</v>
      </c>
      <c r="G632" s="17">
        <v>8.4</v>
      </c>
      <c r="H632" s="17" t="str">
        <f>INDEX(Employees!$B$2:$B$17,MATCH(B632,Employees!$A$2:$A$17,0))</f>
        <v>Morgan</v>
      </c>
      <c r="I632" s="17" t="str">
        <f>INDEX(Employees!$C$2:$C$17,MATCH(B632,Employees!$A$2:$A$17,0))</f>
        <v>Picker</v>
      </c>
      <c r="J632" s="25">
        <f t="shared" si="18"/>
        <v>54.404761904761905</v>
      </c>
      <c r="K632" s="19">
        <f>IF(J632=0,0,J632/INDEX('Labor Dashboard'!$C$36:$C$39,MATCH(E632,'Labor Dashboard'!$B$36:$B$39,0)))</f>
        <v>0.98917748917748916</v>
      </c>
      <c r="L632" s="18">
        <f t="shared" si="19"/>
        <v>9</v>
      </c>
      <c r="M632" s="20">
        <f>G632*INDEX(Employees!$E$2:$E$17,MATCH(B632,Employees!$A$2:$A$17,0))</f>
        <v>142.80000000000001</v>
      </c>
    </row>
    <row r="633" spans="1:13" ht="18" x14ac:dyDescent="0.2">
      <c r="A633" s="17">
        <v>1519</v>
      </c>
      <c r="B633" s="17">
        <v>22</v>
      </c>
      <c r="C633" s="17" t="s">
        <v>517</v>
      </c>
      <c r="D633" s="17" t="s">
        <v>791</v>
      </c>
      <c r="E633" s="17" t="s">
        <v>794</v>
      </c>
      <c r="F633" s="17">
        <v>312</v>
      </c>
      <c r="G633" s="17">
        <v>6.9</v>
      </c>
      <c r="H633" s="17" t="str">
        <f>INDEX(Employees!$B$2:$B$17,MATCH(B633,Employees!$A$2:$A$17,0))</f>
        <v>Avery</v>
      </c>
      <c r="I633" s="17" t="str">
        <f>INDEX(Employees!$C$2:$C$17,MATCH(B633,Employees!$A$2:$A$17,0))</f>
        <v>Packer</v>
      </c>
      <c r="J633" s="25">
        <f t="shared" si="18"/>
        <v>45.217391304347821</v>
      </c>
      <c r="K633" s="19">
        <f>IF(J633=0,0,J633/INDEX('Labor Dashboard'!$C$36:$C$39,MATCH(E633,'Labor Dashboard'!$B$36:$B$39,0)))</f>
        <v>1.0048309178743959</v>
      </c>
      <c r="L633" s="18">
        <f t="shared" si="19"/>
        <v>9</v>
      </c>
      <c r="M633" s="20">
        <f>G633*INDEX(Employees!$E$2:$E$17,MATCH(B633,Employees!$A$2:$A$17,0))</f>
        <v>117.30000000000001</v>
      </c>
    </row>
    <row r="634" spans="1:13" ht="18" x14ac:dyDescent="0.2">
      <c r="A634" s="17">
        <v>1520</v>
      </c>
      <c r="B634" s="17">
        <v>24</v>
      </c>
      <c r="C634" s="17" t="s">
        <v>517</v>
      </c>
      <c r="D634" s="17" t="s">
        <v>791</v>
      </c>
      <c r="E634" s="17" t="s">
        <v>795</v>
      </c>
      <c r="F634" s="17">
        <v>280</v>
      </c>
      <c r="G634" s="17">
        <v>8.5</v>
      </c>
      <c r="H634" s="17" t="str">
        <f>INDEX(Employees!$B$2:$B$17,MATCH(B634,Employees!$A$2:$A$17,0))</f>
        <v>Dakota</v>
      </c>
      <c r="I634" s="17" t="str">
        <f>INDEX(Employees!$C$2:$C$17,MATCH(B634,Employees!$A$2:$A$17,0))</f>
        <v>Forklift Operator</v>
      </c>
      <c r="J634" s="25">
        <f t="shared" si="18"/>
        <v>32.941176470588232</v>
      </c>
      <c r="K634" s="19">
        <f>IF(J634=0,0,J634/INDEX('Labor Dashboard'!$C$36:$C$39,MATCH(E634,'Labor Dashboard'!$B$36:$B$39,0)))</f>
        <v>1.0980392156862744</v>
      </c>
      <c r="L634" s="18">
        <f t="shared" si="19"/>
        <v>9</v>
      </c>
      <c r="M634" s="20">
        <f>G634*INDEX(Employees!$E$2:$E$17,MATCH(B634,Employees!$A$2:$A$17,0))</f>
        <v>165.75</v>
      </c>
    </row>
    <row r="635" spans="1:13" ht="18" x14ac:dyDescent="0.2">
      <c r="A635" s="17">
        <v>1521</v>
      </c>
      <c r="B635" s="17">
        <v>25</v>
      </c>
      <c r="C635" s="17" t="s">
        <v>517</v>
      </c>
      <c r="D635" s="17" t="s">
        <v>793</v>
      </c>
      <c r="E635" s="17" t="s">
        <v>792</v>
      </c>
      <c r="F635" s="17">
        <v>396</v>
      </c>
      <c r="G635" s="17">
        <v>6.6</v>
      </c>
      <c r="H635" s="17" t="str">
        <f>INDEX(Employees!$B$2:$B$17,MATCH(B635,Employees!$A$2:$A$17,0))</f>
        <v>Hayden</v>
      </c>
      <c r="I635" s="17" t="str">
        <f>INDEX(Employees!$C$2:$C$17,MATCH(B635,Employees!$A$2:$A$17,0))</f>
        <v>Forklift Operator</v>
      </c>
      <c r="J635" s="25">
        <f t="shared" si="18"/>
        <v>60</v>
      </c>
      <c r="K635" s="19">
        <f>IF(J635=0,0,J635/INDEX('Labor Dashboard'!$C$36:$C$39,MATCH(E635,'Labor Dashboard'!$B$36:$B$39,0)))</f>
        <v>1.0909090909090908</v>
      </c>
      <c r="L635" s="18">
        <f t="shared" si="19"/>
        <v>9</v>
      </c>
      <c r="M635" s="20">
        <f>G635*INDEX(Employees!$E$2:$E$17,MATCH(B635,Employees!$A$2:$A$17,0))</f>
        <v>128.69999999999999</v>
      </c>
    </row>
    <row r="636" spans="1:13" ht="18" x14ac:dyDescent="0.2">
      <c r="A636" s="17">
        <v>1522</v>
      </c>
      <c r="B636" s="17">
        <v>26</v>
      </c>
      <c r="C636" s="17" t="s">
        <v>517</v>
      </c>
      <c r="D636" s="17" t="s">
        <v>791</v>
      </c>
      <c r="E636" s="17" t="s">
        <v>795</v>
      </c>
      <c r="F636" s="17">
        <v>177</v>
      </c>
      <c r="G636" s="17">
        <v>7.2</v>
      </c>
      <c r="H636" s="17" t="str">
        <f>INDEX(Employees!$B$2:$B$17,MATCH(B636,Employees!$A$2:$A$17,0))</f>
        <v>Reese</v>
      </c>
      <c r="I636" s="17" t="str">
        <f>INDEX(Employees!$C$2:$C$17,MATCH(B636,Employees!$A$2:$A$17,0))</f>
        <v>Receiving Clerk</v>
      </c>
      <c r="J636" s="25">
        <f t="shared" si="18"/>
        <v>24.583333333333332</v>
      </c>
      <c r="K636" s="19">
        <f>IF(J636=0,0,J636/INDEX('Labor Dashboard'!$C$36:$C$39,MATCH(E636,'Labor Dashboard'!$B$36:$B$39,0)))</f>
        <v>0.81944444444444442</v>
      </c>
      <c r="L636" s="18">
        <f t="shared" si="19"/>
        <v>9</v>
      </c>
      <c r="M636" s="20">
        <f>G636*INDEX(Employees!$E$2:$E$17,MATCH(B636,Employees!$A$2:$A$17,0))</f>
        <v>129.6</v>
      </c>
    </row>
    <row r="637" spans="1:13" ht="18" x14ac:dyDescent="0.2">
      <c r="A637" s="17">
        <v>1523</v>
      </c>
      <c r="B637" s="17">
        <v>27</v>
      </c>
      <c r="C637" s="17" t="s">
        <v>517</v>
      </c>
      <c r="D637" s="17" t="s">
        <v>793</v>
      </c>
      <c r="E637" s="17" t="s">
        <v>795</v>
      </c>
      <c r="F637" s="17">
        <v>207</v>
      </c>
      <c r="G637" s="17">
        <v>8</v>
      </c>
      <c r="H637" s="17" t="str">
        <f>INDEX(Employees!$B$2:$B$17,MATCH(B637,Employees!$A$2:$A$17,0))</f>
        <v>Skyler</v>
      </c>
      <c r="I637" s="17" t="str">
        <f>INDEX(Employees!$C$2:$C$17,MATCH(B637,Employees!$A$2:$A$17,0))</f>
        <v>Receiving Clerk</v>
      </c>
      <c r="J637" s="25">
        <f t="shared" si="18"/>
        <v>25.875</v>
      </c>
      <c r="K637" s="19">
        <f>IF(J637=0,0,J637/INDEX('Labor Dashboard'!$C$36:$C$39,MATCH(E637,'Labor Dashboard'!$B$36:$B$39,0)))</f>
        <v>0.86250000000000004</v>
      </c>
      <c r="L637" s="18">
        <f t="shared" si="19"/>
        <v>9</v>
      </c>
      <c r="M637" s="20">
        <f>G637*INDEX(Employees!$E$2:$E$17,MATCH(B637,Employees!$A$2:$A$17,0))</f>
        <v>144</v>
      </c>
    </row>
    <row r="638" spans="1:13" ht="18" x14ac:dyDescent="0.2">
      <c r="A638" s="17">
        <v>1524</v>
      </c>
      <c r="B638" s="17">
        <v>28</v>
      </c>
      <c r="C638" s="17" t="s">
        <v>517</v>
      </c>
      <c r="D638" s="17" t="s">
        <v>791</v>
      </c>
      <c r="E638" s="17" t="s">
        <v>796</v>
      </c>
      <c r="F638" s="17">
        <v>190</v>
      </c>
      <c r="G638" s="17">
        <v>7.7</v>
      </c>
      <c r="H638" s="17" t="str">
        <f>INDEX(Employees!$B$2:$B$17,MATCH(B638,Employees!$A$2:$A$17,0))</f>
        <v>Peyton</v>
      </c>
      <c r="I638" s="17" t="str">
        <f>INDEX(Employees!$C$2:$C$17,MATCH(B638,Employees!$A$2:$A$17,0))</f>
        <v>Cycle Counter</v>
      </c>
      <c r="J638" s="25">
        <f t="shared" si="18"/>
        <v>24.675324675324674</v>
      </c>
      <c r="K638" s="19">
        <f>IF(J638=0,0,J638/INDEX('Labor Dashboard'!$C$36:$C$39,MATCH(E638,'Labor Dashboard'!$B$36:$B$39,0)))</f>
        <v>0.98701298701298701</v>
      </c>
      <c r="L638" s="18">
        <f t="shared" si="19"/>
        <v>9</v>
      </c>
      <c r="M638" s="20">
        <f>G638*INDEX(Employees!$E$2:$E$17,MATCH(B638,Employees!$A$2:$A$17,0))</f>
        <v>138.6</v>
      </c>
    </row>
    <row r="639" spans="1:13" ht="18" x14ac:dyDescent="0.2">
      <c r="A639" s="17">
        <v>1525</v>
      </c>
      <c r="B639" s="17">
        <v>30</v>
      </c>
      <c r="C639" s="17" t="s">
        <v>517</v>
      </c>
      <c r="D639" s="17" t="s">
        <v>793</v>
      </c>
      <c r="E639" s="17" t="s">
        <v>796</v>
      </c>
      <c r="F639" s="17">
        <v>154</v>
      </c>
      <c r="G639" s="17">
        <v>6.7</v>
      </c>
      <c r="H639" s="17" t="str">
        <f>INDEX(Employees!$B$2:$B$17,MATCH(B639,Employees!$A$2:$A$17,0))</f>
        <v>Emerson</v>
      </c>
      <c r="I639" s="17" t="str">
        <f>INDEX(Employees!$C$2:$C$17,MATCH(B639,Employees!$A$2:$A$17,0))</f>
        <v>Shift Supervisor</v>
      </c>
      <c r="J639" s="25">
        <f t="shared" si="18"/>
        <v>22.985074626865671</v>
      </c>
      <c r="K639" s="19">
        <f>IF(J639=0,0,J639/INDEX('Labor Dashboard'!$C$36:$C$39,MATCH(E639,'Labor Dashboard'!$B$36:$B$39,0)))</f>
        <v>0.91940298507462681</v>
      </c>
      <c r="L639" s="18">
        <f t="shared" si="19"/>
        <v>9</v>
      </c>
      <c r="M639" s="20">
        <f>G639*INDEX(Employees!$E$2:$E$17,MATCH(B639,Employees!$A$2:$A$17,0))</f>
        <v>160.80000000000001</v>
      </c>
    </row>
    <row r="640" spans="1:13" ht="18" x14ac:dyDescent="0.2">
      <c r="A640" s="17">
        <v>1526</v>
      </c>
      <c r="B640" s="17">
        <v>31</v>
      </c>
      <c r="C640" s="17" t="s">
        <v>517</v>
      </c>
      <c r="D640" s="17" t="s">
        <v>793</v>
      </c>
      <c r="E640" s="17" t="s">
        <v>795</v>
      </c>
      <c r="F640" s="17">
        <v>296</v>
      </c>
      <c r="G640" s="17">
        <v>8.3000000000000007</v>
      </c>
      <c r="H640" s="17" t="str">
        <f>INDEX(Employees!$B$2:$B$17,MATCH(B640,Employees!$A$2:$A$17,0))</f>
        <v>Finley</v>
      </c>
      <c r="I640" s="17" t="str">
        <f>INDEX(Employees!$C$2:$C$17,MATCH(B640,Employees!$A$2:$A$17,0))</f>
        <v>Shift Supervisor</v>
      </c>
      <c r="J640" s="25">
        <f t="shared" si="18"/>
        <v>35.662650602409634</v>
      </c>
      <c r="K640" s="19">
        <f>IF(J640=0,0,J640/INDEX('Labor Dashboard'!$C$36:$C$39,MATCH(E640,'Labor Dashboard'!$B$36:$B$39,0)))</f>
        <v>1.1887550200803212</v>
      </c>
      <c r="L640" s="18">
        <f t="shared" si="19"/>
        <v>9</v>
      </c>
      <c r="M640" s="20">
        <f>G640*INDEX(Employees!$E$2:$E$17,MATCH(B640,Employees!$A$2:$A$17,0))</f>
        <v>199.20000000000002</v>
      </c>
    </row>
    <row r="641" spans="1:13" ht="18" x14ac:dyDescent="0.2">
      <c r="A641" s="17">
        <v>1527</v>
      </c>
      <c r="B641" s="17">
        <v>32</v>
      </c>
      <c r="C641" s="17" t="s">
        <v>517</v>
      </c>
      <c r="D641" s="17" t="s">
        <v>791</v>
      </c>
      <c r="E641" s="17" t="s">
        <v>795</v>
      </c>
      <c r="F641" s="17">
        <v>218</v>
      </c>
      <c r="G641" s="17">
        <v>7.6</v>
      </c>
      <c r="H641" s="17" t="str">
        <f>INDEX(Employees!$B$2:$B$17,MATCH(B641,Employees!$A$2:$A$17,0))</f>
        <v>Sawyer</v>
      </c>
      <c r="I641" s="17" t="str">
        <f>INDEX(Employees!$C$2:$C$17,MATCH(B641,Employees!$A$2:$A$17,0))</f>
        <v>Shift Supervisor</v>
      </c>
      <c r="J641" s="25">
        <f t="shared" si="18"/>
        <v>28.684210526315791</v>
      </c>
      <c r="K641" s="19">
        <f>IF(J641=0,0,J641/INDEX('Labor Dashboard'!$C$36:$C$39,MATCH(E641,'Labor Dashboard'!$B$36:$B$39,0)))</f>
        <v>0.95614035087719307</v>
      </c>
      <c r="L641" s="18">
        <f t="shared" si="19"/>
        <v>9</v>
      </c>
      <c r="M641" s="20">
        <f>G641*INDEX(Employees!$E$2:$E$17,MATCH(B641,Employees!$A$2:$A$17,0))</f>
        <v>182.39999999999998</v>
      </c>
    </row>
    <row r="642" spans="1:13" ht="18" x14ac:dyDescent="0.2">
      <c r="A642" s="17">
        <v>1528</v>
      </c>
      <c r="B642" s="17">
        <v>18</v>
      </c>
      <c r="C642" s="17" t="s">
        <v>501</v>
      </c>
      <c r="D642" s="17" t="s">
        <v>791</v>
      </c>
      <c r="E642" s="17" t="s">
        <v>792</v>
      </c>
      <c r="F642" s="17">
        <v>379</v>
      </c>
      <c r="G642" s="17">
        <v>7.1</v>
      </c>
      <c r="H642" s="17" t="str">
        <f>INDEX(Employees!$B$2:$B$17,MATCH(B642,Employees!$A$2:$A$17,0))</f>
        <v>Casey</v>
      </c>
      <c r="I642" s="17" t="str">
        <f>INDEX(Employees!$C$2:$C$17,MATCH(B642,Employees!$A$2:$A$17,0))</f>
        <v>Picker</v>
      </c>
      <c r="J642" s="25">
        <f t="shared" ref="J642:J705" si="20">IF(G642=0,0,F642/G642)</f>
        <v>53.380281690140848</v>
      </c>
      <c r="K642" s="19">
        <f>IF(J642=0,0,J642/INDEX('Labor Dashboard'!$C$36:$C$39,MATCH(E642,'Labor Dashboard'!$B$36:$B$39,0)))</f>
        <v>0.97055057618437901</v>
      </c>
      <c r="L642" s="18">
        <f t="shared" ref="L642:L705" si="21">INT((DATEVALUE(C642)-DATE(2026,4,6))/7)</f>
        <v>9</v>
      </c>
      <c r="M642" s="20">
        <f>G642*INDEX(Employees!$E$2:$E$17,MATCH(B642,Employees!$A$2:$A$17,0))</f>
        <v>120.69999999999999</v>
      </c>
    </row>
    <row r="643" spans="1:13" ht="18" x14ac:dyDescent="0.2">
      <c r="A643" s="17">
        <v>1529</v>
      </c>
      <c r="B643" s="17">
        <v>19</v>
      </c>
      <c r="C643" s="17" t="s">
        <v>501</v>
      </c>
      <c r="D643" s="17" t="s">
        <v>793</v>
      </c>
      <c r="E643" s="17" t="s">
        <v>792</v>
      </c>
      <c r="F643" s="17">
        <v>448</v>
      </c>
      <c r="G643" s="17">
        <v>7.6</v>
      </c>
      <c r="H643" s="17" t="str">
        <f>INDEX(Employees!$B$2:$B$17,MATCH(B643,Employees!$A$2:$A$17,0))</f>
        <v>Morgan</v>
      </c>
      <c r="I643" s="17" t="str">
        <f>INDEX(Employees!$C$2:$C$17,MATCH(B643,Employees!$A$2:$A$17,0))</f>
        <v>Picker</v>
      </c>
      <c r="J643" s="25">
        <f t="shared" si="20"/>
        <v>58.947368421052637</v>
      </c>
      <c r="K643" s="19">
        <f>IF(J643=0,0,J643/INDEX('Labor Dashboard'!$C$36:$C$39,MATCH(E643,'Labor Dashboard'!$B$36:$B$39,0)))</f>
        <v>1.0717703349282297</v>
      </c>
      <c r="L643" s="18">
        <f t="shared" si="21"/>
        <v>9</v>
      </c>
      <c r="M643" s="20">
        <f>G643*INDEX(Employees!$E$2:$E$17,MATCH(B643,Employees!$A$2:$A$17,0))</f>
        <v>129.19999999999999</v>
      </c>
    </row>
    <row r="644" spans="1:13" ht="18" x14ac:dyDescent="0.2">
      <c r="A644" s="17">
        <v>1530</v>
      </c>
      <c r="B644" s="17">
        <v>21</v>
      </c>
      <c r="C644" s="17" t="s">
        <v>501</v>
      </c>
      <c r="D644" s="17" t="s">
        <v>793</v>
      </c>
      <c r="E644" s="17" t="s">
        <v>794</v>
      </c>
      <c r="F644" s="17">
        <v>257</v>
      </c>
      <c r="G644" s="17">
        <v>6.6</v>
      </c>
      <c r="H644" s="17" t="str">
        <f>INDEX(Employees!$B$2:$B$17,MATCH(B644,Employees!$A$2:$A$17,0))</f>
        <v>Riley</v>
      </c>
      <c r="I644" s="17" t="str">
        <f>INDEX(Employees!$C$2:$C$17,MATCH(B644,Employees!$A$2:$A$17,0))</f>
        <v>Packer</v>
      </c>
      <c r="J644" s="25">
        <f t="shared" si="20"/>
        <v>38.939393939393945</v>
      </c>
      <c r="K644" s="19">
        <f>IF(J644=0,0,J644/INDEX('Labor Dashboard'!$C$36:$C$39,MATCH(E644,'Labor Dashboard'!$B$36:$B$39,0)))</f>
        <v>0.86531986531986549</v>
      </c>
      <c r="L644" s="18">
        <f t="shared" si="21"/>
        <v>9</v>
      </c>
      <c r="M644" s="20">
        <f>G644*INDEX(Employees!$E$2:$E$17,MATCH(B644,Employees!$A$2:$A$17,0))</f>
        <v>112.19999999999999</v>
      </c>
    </row>
    <row r="645" spans="1:13" ht="18" x14ac:dyDescent="0.2">
      <c r="A645" s="17">
        <v>1531</v>
      </c>
      <c r="B645" s="17">
        <v>22</v>
      </c>
      <c r="C645" s="17" t="s">
        <v>501</v>
      </c>
      <c r="D645" s="17" t="s">
        <v>793</v>
      </c>
      <c r="E645" s="17" t="s">
        <v>794</v>
      </c>
      <c r="F645" s="17">
        <v>369</v>
      </c>
      <c r="G645" s="17">
        <v>7.4</v>
      </c>
      <c r="H645" s="17" t="str">
        <f>INDEX(Employees!$B$2:$B$17,MATCH(B645,Employees!$A$2:$A$17,0))</f>
        <v>Avery</v>
      </c>
      <c r="I645" s="17" t="str">
        <f>INDEX(Employees!$C$2:$C$17,MATCH(B645,Employees!$A$2:$A$17,0))</f>
        <v>Packer</v>
      </c>
      <c r="J645" s="25">
        <f t="shared" si="20"/>
        <v>49.864864864864863</v>
      </c>
      <c r="K645" s="19">
        <f>IF(J645=0,0,J645/INDEX('Labor Dashboard'!$C$36:$C$39,MATCH(E645,'Labor Dashboard'!$B$36:$B$39,0)))</f>
        <v>1.1081081081081081</v>
      </c>
      <c r="L645" s="18">
        <f t="shared" si="21"/>
        <v>9</v>
      </c>
      <c r="M645" s="20">
        <f>G645*INDEX(Employees!$E$2:$E$17,MATCH(B645,Employees!$A$2:$A$17,0))</f>
        <v>125.80000000000001</v>
      </c>
    </row>
    <row r="646" spans="1:13" ht="18" x14ac:dyDescent="0.2">
      <c r="A646" s="17">
        <v>1532</v>
      </c>
      <c r="B646" s="17">
        <v>23</v>
      </c>
      <c r="C646" s="17" t="s">
        <v>501</v>
      </c>
      <c r="D646" s="17" t="s">
        <v>791</v>
      </c>
      <c r="E646" s="17" t="s">
        <v>794</v>
      </c>
      <c r="F646" s="17">
        <v>387</v>
      </c>
      <c r="G646" s="17">
        <v>8.1</v>
      </c>
      <c r="H646" s="17" t="str">
        <f>INDEX(Employees!$B$2:$B$17,MATCH(B646,Employees!$A$2:$A$17,0))</f>
        <v>Cameron</v>
      </c>
      <c r="I646" s="17" t="str">
        <f>INDEX(Employees!$C$2:$C$17,MATCH(B646,Employees!$A$2:$A$17,0))</f>
        <v>Packer</v>
      </c>
      <c r="J646" s="25">
        <f t="shared" si="20"/>
        <v>47.777777777777779</v>
      </c>
      <c r="K646" s="19">
        <f>IF(J646=0,0,J646/INDEX('Labor Dashboard'!$C$36:$C$39,MATCH(E646,'Labor Dashboard'!$B$36:$B$39,0)))</f>
        <v>1.0617283950617284</v>
      </c>
      <c r="L646" s="18">
        <f t="shared" si="21"/>
        <v>9</v>
      </c>
      <c r="M646" s="20">
        <f>G646*INDEX(Employees!$E$2:$E$17,MATCH(B646,Employees!$A$2:$A$17,0))</f>
        <v>137.69999999999999</v>
      </c>
    </row>
    <row r="647" spans="1:13" ht="18" x14ac:dyDescent="0.2">
      <c r="A647" s="17">
        <v>1533</v>
      </c>
      <c r="B647" s="17">
        <v>24</v>
      </c>
      <c r="C647" s="17" t="s">
        <v>501</v>
      </c>
      <c r="D647" s="17" t="s">
        <v>793</v>
      </c>
      <c r="E647" s="17" t="s">
        <v>792</v>
      </c>
      <c r="F647" s="17">
        <v>455</v>
      </c>
      <c r="G647" s="17">
        <v>7.7</v>
      </c>
      <c r="H647" s="17" t="str">
        <f>INDEX(Employees!$B$2:$B$17,MATCH(B647,Employees!$A$2:$A$17,0))</f>
        <v>Dakota</v>
      </c>
      <c r="I647" s="17" t="str">
        <f>INDEX(Employees!$C$2:$C$17,MATCH(B647,Employees!$A$2:$A$17,0))</f>
        <v>Forklift Operator</v>
      </c>
      <c r="J647" s="25">
        <f t="shared" si="20"/>
        <v>59.090909090909086</v>
      </c>
      <c r="K647" s="19">
        <f>IF(J647=0,0,J647/INDEX('Labor Dashboard'!$C$36:$C$39,MATCH(E647,'Labor Dashboard'!$B$36:$B$39,0)))</f>
        <v>1.0743801652892562</v>
      </c>
      <c r="L647" s="18">
        <f t="shared" si="21"/>
        <v>9</v>
      </c>
      <c r="M647" s="20">
        <f>G647*INDEX(Employees!$E$2:$E$17,MATCH(B647,Employees!$A$2:$A$17,0))</f>
        <v>150.15</v>
      </c>
    </row>
    <row r="648" spans="1:13" ht="18" x14ac:dyDescent="0.2">
      <c r="A648" s="17">
        <v>1534</v>
      </c>
      <c r="B648" s="17">
        <v>25</v>
      </c>
      <c r="C648" s="17" t="s">
        <v>501</v>
      </c>
      <c r="D648" s="17" t="s">
        <v>791</v>
      </c>
      <c r="E648" s="17" t="s">
        <v>792</v>
      </c>
      <c r="F648" s="17">
        <v>477</v>
      </c>
      <c r="G648" s="17">
        <v>8.3000000000000007</v>
      </c>
      <c r="H648" s="17" t="str">
        <f>INDEX(Employees!$B$2:$B$17,MATCH(B648,Employees!$A$2:$A$17,0))</f>
        <v>Hayden</v>
      </c>
      <c r="I648" s="17" t="str">
        <f>INDEX(Employees!$C$2:$C$17,MATCH(B648,Employees!$A$2:$A$17,0))</f>
        <v>Forklift Operator</v>
      </c>
      <c r="J648" s="25">
        <f t="shared" si="20"/>
        <v>57.469879518072283</v>
      </c>
      <c r="K648" s="19">
        <f>IF(J648=0,0,J648/INDEX('Labor Dashboard'!$C$36:$C$39,MATCH(E648,'Labor Dashboard'!$B$36:$B$39,0)))</f>
        <v>1.0449069003285869</v>
      </c>
      <c r="L648" s="18">
        <f t="shared" si="21"/>
        <v>9</v>
      </c>
      <c r="M648" s="20">
        <f>G648*INDEX(Employees!$E$2:$E$17,MATCH(B648,Employees!$A$2:$A$17,0))</f>
        <v>161.85000000000002</v>
      </c>
    </row>
    <row r="649" spans="1:13" ht="18" x14ac:dyDescent="0.2">
      <c r="A649" s="17">
        <v>1535</v>
      </c>
      <c r="B649" s="17">
        <v>26</v>
      </c>
      <c r="C649" s="17" t="s">
        <v>501</v>
      </c>
      <c r="D649" s="17" t="s">
        <v>793</v>
      </c>
      <c r="E649" s="17" t="s">
        <v>795</v>
      </c>
      <c r="F649" s="17">
        <v>218</v>
      </c>
      <c r="G649" s="17">
        <v>8.1999999999999993</v>
      </c>
      <c r="H649" s="17" t="str">
        <f>INDEX(Employees!$B$2:$B$17,MATCH(B649,Employees!$A$2:$A$17,0))</f>
        <v>Reese</v>
      </c>
      <c r="I649" s="17" t="str">
        <f>INDEX(Employees!$C$2:$C$17,MATCH(B649,Employees!$A$2:$A$17,0))</f>
        <v>Receiving Clerk</v>
      </c>
      <c r="J649" s="25">
        <f t="shared" si="20"/>
        <v>26.585365853658541</v>
      </c>
      <c r="K649" s="19">
        <f>IF(J649=0,0,J649/INDEX('Labor Dashboard'!$C$36:$C$39,MATCH(E649,'Labor Dashboard'!$B$36:$B$39,0)))</f>
        <v>0.88617886178861804</v>
      </c>
      <c r="L649" s="18">
        <f t="shared" si="21"/>
        <v>9</v>
      </c>
      <c r="M649" s="20">
        <f>G649*INDEX(Employees!$E$2:$E$17,MATCH(B649,Employees!$A$2:$A$17,0))</f>
        <v>147.6</v>
      </c>
    </row>
    <row r="650" spans="1:13" ht="18" x14ac:dyDescent="0.2">
      <c r="A650" s="17">
        <v>1536</v>
      </c>
      <c r="B650" s="17">
        <v>27</v>
      </c>
      <c r="C650" s="17" t="s">
        <v>501</v>
      </c>
      <c r="D650" s="17" t="s">
        <v>791</v>
      </c>
      <c r="E650" s="17" t="s">
        <v>795</v>
      </c>
      <c r="F650" s="17">
        <v>197</v>
      </c>
      <c r="G650" s="17">
        <v>7.3</v>
      </c>
      <c r="H650" s="17" t="str">
        <f>INDEX(Employees!$B$2:$B$17,MATCH(B650,Employees!$A$2:$A$17,0))</f>
        <v>Skyler</v>
      </c>
      <c r="I650" s="17" t="str">
        <f>INDEX(Employees!$C$2:$C$17,MATCH(B650,Employees!$A$2:$A$17,0))</f>
        <v>Receiving Clerk</v>
      </c>
      <c r="J650" s="25">
        <f t="shared" si="20"/>
        <v>26.986301369863014</v>
      </c>
      <c r="K650" s="19">
        <f>IF(J650=0,0,J650/INDEX('Labor Dashboard'!$C$36:$C$39,MATCH(E650,'Labor Dashboard'!$B$36:$B$39,0)))</f>
        <v>0.8995433789954338</v>
      </c>
      <c r="L650" s="18">
        <f t="shared" si="21"/>
        <v>9</v>
      </c>
      <c r="M650" s="20">
        <f>G650*INDEX(Employees!$E$2:$E$17,MATCH(B650,Employees!$A$2:$A$17,0))</f>
        <v>131.4</v>
      </c>
    </row>
    <row r="651" spans="1:13" ht="18" x14ac:dyDescent="0.2">
      <c r="A651" s="17">
        <v>1537</v>
      </c>
      <c r="B651" s="17">
        <v>29</v>
      </c>
      <c r="C651" s="17" t="s">
        <v>501</v>
      </c>
      <c r="D651" s="17" t="s">
        <v>793</v>
      </c>
      <c r="E651" s="17" t="s">
        <v>796</v>
      </c>
      <c r="F651" s="17">
        <v>196</v>
      </c>
      <c r="G651" s="17">
        <v>7.1</v>
      </c>
      <c r="H651" s="17" t="str">
        <f>INDEX(Employees!$B$2:$B$17,MATCH(B651,Employees!$A$2:$A$17,0))</f>
        <v>Rowan</v>
      </c>
      <c r="I651" s="17" t="str">
        <f>INDEX(Employees!$C$2:$C$17,MATCH(B651,Employees!$A$2:$A$17,0))</f>
        <v>Cycle Counter</v>
      </c>
      <c r="J651" s="25">
        <f t="shared" si="20"/>
        <v>27.605633802816904</v>
      </c>
      <c r="K651" s="19">
        <f>IF(J651=0,0,J651/INDEX('Labor Dashboard'!$C$36:$C$39,MATCH(E651,'Labor Dashboard'!$B$36:$B$39,0)))</f>
        <v>1.1042253521126761</v>
      </c>
      <c r="L651" s="18">
        <f t="shared" si="21"/>
        <v>9</v>
      </c>
      <c r="M651" s="20">
        <f>G651*INDEX(Employees!$E$2:$E$17,MATCH(B651,Employees!$A$2:$A$17,0))</f>
        <v>127.8</v>
      </c>
    </row>
    <row r="652" spans="1:13" ht="18" x14ac:dyDescent="0.2">
      <c r="A652" s="17">
        <v>1538</v>
      </c>
      <c r="B652" s="17">
        <v>30</v>
      </c>
      <c r="C652" s="17" t="s">
        <v>501</v>
      </c>
      <c r="D652" s="17" t="s">
        <v>793</v>
      </c>
      <c r="E652" s="17" t="s">
        <v>794</v>
      </c>
      <c r="F652" s="17">
        <v>304</v>
      </c>
      <c r="G652" s="17">
        <v>8</v>
      </c>
      <c r="H652" s="17" t="str">
        <f>INDEX(Employees!$B$2:$B$17,MATCH(B652,Employees!$A$2:$A$17,0))</f>
        <v>Emerson</v>
      </c>
      <c r="I652" s="17" t="str">
        <f>INDEX(Employees!$C$2:$C$17,MATCH(B652,Employees!$A$2:$A$17,0))</f>
        <v>Shift Supervisor</v>
      </c>
      <c r="J652" s="25">
        <f t="shared" si="20"/>
        <v>38</v>
      </c>
      <c r="K652" s="19">
        <f>IF(J652=0,0,J652/INDEX('Labor Dashboard'!$C$36:$C$39,MATCH(E652,'Labor Dashboard'!$B$36:$B$39,0)))</f>
        <v>0.84444444444444444</v>
      </c>
      <c r="L652" s="18">
        <f t="shared" si="21"/>
        <v>9</v>
      </c>
      <c r="M652" s="20">
        <f>G652*INDEX(Employees!$E$2:$E$17,MATCH(B652,Employees!$A$2:$A$17,0))</f>
        <v>192</v>
      </c>
    </row>
    <row r="653" spans="1:13" ht="18" x14ac:dyDescent="0.2">
      <c r="A653" s="17">
        <v>1539</v>
      </c>
      <c r="B653" s="17">
        <v>31</v>
      </c>
      <c r="C653" s="17" t="s">
        <v>501</v>
      </c>
      <c r="D653" s="17" t="s">
        <v>793</v>
      </c>
      <c r="E653" s="17" t="s">
        <v>796</v>
      </c>
      <c r="F653" s="17">
        <v>250</v>
      </c>
      <c r="G653" s="17">
        <v>8.5</v>
      </c>
      <c r="H653" s="17" t="str">
        <f>INDEX(Employees!$B$2:$B$17,MATCH(B653,Employees!$A$2:$A$17,0))</f>
        <v>Finley</v>
      </c>
      <c r="I653" s="17" t="str">
        <f>INDEX(Employees!$C$2:$C$17,MATCH(B653,Employees!$A$2:$A$17,0))</f>
        <v>Shift Supervisor</v>
      </c>
      <c r="J653" s="25">
        <f t="shared" si="20"/>
        <v>29.411764705882351</v>
      </c>
      <c r="K653" s="19">
        <f>IF(J653=0,0,J653/INDEX('Labor Dashboard'!$C$36:$C$39,MATCH(E653,'Labor Dashboard'!$B$36:$B$39,0)))</f>
        <v>1.1764705882352942</v>
      </c>
      <c r="L653" s="18">
        <f t="shared" si="21"/>
        <v>9</v>
      </c>
      <c r="M653" s="20">
        <f>G653*INDEX(Employees!$E$2:$E$17,MATCH(B653,Employees!$A$2:$A$17,0))</f>
        <v>204</v>
      </c>
    </row>
    <row r="654" spans="1:13" ht="18" x14ac:dyDescent="0.2">
      <c r="A654" s="17">
        <v>1540</v>
      </c>
      <c r="B654" s="17">
        <v>32</v>
      </c>
      <c r="C654" s="17" t="s">
        <v>501</v>
      </c>
      <c r="D654" s="17" t="s">
        <v>793</v>
      </c>
      <c r="E654" s="17" t="s">
        <v>796</v>
      </c>
      <c r="F654" s="17">
        <v>169</v>
      </c>
      <c r="G654" s="17">
        <v>6.8</v>
      </c>
      <c r="H654" s="17" t="str">
        <f>INDEX(Employees!$B$2:$B$17,MATCH(B654,Employees!$A$2:$A$17,0))</f>
        <v>Sawyer</v>
      </c>
      <c r="I654" s="17" t="str">
        <f>INDEX(Employees!$C$2:$C$17,MATCH(B654,Employees!$A$2:$A$17,0))</f>
        <v>Shift Supervisor</v>
      </c>
      <c r="J654" s="25">
        <f t="shared" si="20"/>
        <v>24.852941176470591</v>
      </c>
      <c r="K654" s="19">
        <f>IF(J654=0,0,J654/INDEX('Labor Dashboard'!$C$36:$C$39,MATCH(E654,'Labor Dashboard'!$B$36:$B$39,0)))</f>
        <v>0.99411764705882366</v>
      </c>
      <c r="L654" s="18">
        <f t="shared" si="21"/>
        <v>9</v>
      </c>
      <c r="M654" s="20">
        <f>G654*INDEX(Employees!$E$2:$E$17,MATCH(B654,Employees!$A$2:$A$17,0))</f>
        <v>163.19999999999999</v>
      </c>
    </row>
    <row r="655" spans="1:13" ht="18" x14ac:dyDescent="0.2">
      <c r="A655" s="17">
        <v>1541</v>
      </c>
      <c r="B655" s="17">
        <v>17</v>
      </c>
      <c r="C655" s="17" t="s">
        <v>494</v>
      </c>
      <c r="D655" s="17" t="s">
        <v>793</v>
      </c>
      <c r="E655" s="17" t="s">
        <v>792</v>
      </c>
      <c r="F655" s="17">
        <v>385</v>
      </c>
      <c r="G655" s="17">
        <v>8.1</v>
      </c>
      <c r="H655" s="17" t="str">
        <f>INDEX(Employees!$B$2:$B$17,MATCH(B655,Employees!$A$2:$A$17,0))</f>
        <v>Jordan</v>
      </c>
      <c r="I655" s="17" t="str">
        <f>INDEX(Employees!$C$2:$C$17,MATCH(B655,Employees!$A$2:$A$17,0))</f>
        <v>Picker</v>
      </c>
      <c r="J655" s="25">
        <f t="shared" si="20"/>
        <v>47.530864197530867</v>
      </c>
      <c r="K655" s="19">
        <f>IF(J655=0,0,J655/INDEX('Labor Dashboard'!$C$36:$C$39,MATCH(E655,'Labor Dashboard'!$B$36:$B$39,0)))</f>
        <v>0.86419753086419759</v>
      </c>
      <c r="L655" s="18">
        <f t="shared" si="21"/>
        <v>9</v>
      </c>
      <c r="M655" s="20">
        <f>G655*INDEX(Employees!$E$2:$E$17,MATCH(B655,Employees!$A$2:$A$17,0))</f>
        <v>137.69999999999999</v>
      </c>
    </row>
    <row r="656" spans="1:13" ht="18" x14ac:dyDescent="0.2">
      <c r="A656" s="17">
        <v>1542</v>
      </c>
      <c r="B656" s="17">
        <v>18</v>
      </c>
      <c r="C656" s="17" t="s">
        <v>494</v>
      </c>
      <c r="D656" s="17" t="s">
        <v>791</v>
      </c>
      <c r="E656" s="17" t="s">
        <v>792</v>
      </c>
      <c r="F656" s="17">
        <v>485</v>
      </c>
      <c r="G656" s="17">
        <v>7.9</v>
      </c>
      <c r="H656" s="17" t="str">
        <f>INDEX(Employees!$B$2:$B$17,MATCH(B656,Employees!$A$2:$A$17,0))</f>
        <v>Casey</v>
      </c>
      <c r="I656" s="17" t="str">
        <f>INDEX(Employees!$C$2:$C$17,MATCH(B656,Employees!$A$2:$A$17,0))</f>
        <v>Picker</v>
      </c>
      <c r="J656" s="25">
        <f t="shared" si="20"/>
        <v>61.392405063291136</v>
      </c>
      <c r="K656" s="19">
        <f>IF(J656=0,0,J656/INDEX('Labor Dashboard'!$C$36:$C$39,MATCH(E656,'Labor Dashboard'!$B$36:$B$39,0)))</f>
        <v>1.1162255466052933</v>
      </c>
      <c r="L656" s="18">
        <f t="shared" si="21"/>
        <v>9</v>
      </c>
      <c r="M656" s="20">
        <f>G656*INDEX(Employees!$E$2:$E$17,MATCH(B656,Employees!$A$2:$A$17,0))</f>
        <v>134.30000000000001</v>
      </c>
    </row>
    <row r="657" spans="1:13" ht="18" x14ac:dyDescent="0.2">
      <c r="A657" s="17">
        <v>1543</v>
      </c>
      <c r="B657" s="17">
        <v>19</v>
      </c>
      <c r="C657" s="17" t="s">
        <v>494</v>
      </c>
      <c r="D657" s="17" t="s">
        <v>791</v>
      </c>
      <c r="E657" s="17" t="s">
        <v>792</v>
      </c>
      <c r="F657" s="17">
        <v>492</v>
      </c>
      <c r="G657" s="17">
        <v>8.4</v>
      </c>
      <c r="H657" s="17" t="str">
        <f>INDEX(Employees!$B$2:$B$17,MATCH(B657,Employees!$A$2:$A$17,0))</f>
        <v>Morgan</v>
      </c>
      <c r="I657" s="17" t="str">
        <f>INDEX(Employees!$C$2:$C$17,MATCH(B657,Employees!$A$2:$A$17,0))</f>
        <v>Picker</v>
      </c>
      <c r="J657" s="25">
        <f t="shared" si="20"/>
        <v>58.571428571428569</v>
      </c>
      <c r="K657" s="19">
        <f>IF(J657=0,0,J657/INDEX('Labor Dashboard'!$C$36:$C$39,MATCH(E657,'Labor Dashboard'!$B$36:$B$39,0)))</f>
        <v>1.0649350649350648</v>
      </c>
      <c r="L657" s="18">
        <f t="shared" si="21"/>
        <v>9</v>
      </c>
      <c r="M657" s="20">
        <f>G657*INDEX(Employees!$E$2:$E$17,MATCH(B657,Employees!$A$2:$A$17,0))</f>
        <v>142.80000000000001</v>
      </c>
    </row>
    <row r="658" spans="1:13" ht="18" x14ac:dyDescent="0.2">
      <c r="A658" s="17">
        <v>1544</v>
      </c>
      <c r="B658" s="17">
        <v>20</v>
      </c>
      <c r="C658" s="17" t="s">
        <v>494</v>
      </c>
      <c r="D658" s="17" t="s">
        <v>791</v>
      </c>
      <c r="E658" s="17" t="s">
        <v>792</v>
      </c>
      <c r="F658" s="17">
        <v>420</v>
      </c>
      <c r="G658" s="17">
        <v>7.9</v>
      </c>
      <c r="H658" s="17" t="str">
        <f>INDEX(Employees!$B$2:$B$17,MATCH(B658,Employees!$A$2:$A$17,0))</f>
        <v>Taylor</v>
      </c>
      <c r="I658" s="17" t="str">
        <f>INDEX(Employees!$C$2:$C$17,MATCH(B658,Employees!$A$2:$A$17,0))</f>
        <v>Picker</v>
      </c>
      <c r="J658" s="25">
        <f t="shared" si="20"/>
        <v>53.164556962025316</v>
      </c>
      <c r="K658" s="19">
        <f>IF(J658=0,0,J658/INDEX('Labor Dashboard'!$C$36:$C$39,MATCH(E658,'Labor Dashboard'!$B$36:$B$39,0)))</f>
        <v>0.96662830840046032</v>
      </c>
      <c r="L658" s="18">
        <f t="shared" si="21"/>
        <v>9</v>
      </c>
      <c r="M658" s="20">
        <f>G658*INDEX(Employees!$E$2:$E$17,MATCH(B658,Employees!$A$2:$A$17,0))</f>
        <v>134.30000000000001</v>
      </c>
    </row>
    <row r="659" spans="1:13" ht="18" x14ac:dyDescent="0.2">
      <c r="A659" s="17">
        <v>1545</v>
      </c>
      <c r="B659" s="17">
        <v>21</v>
      </c>
      <c r="C659" s="17" t="s">
        <v>494</v>
      </c>
      <c r="D659" s="17" t="s">
        <v>793</v>
      </c>
      <c r="E659" s="17" t="s">
        <v>794</v>
      </c>
      <c r="F659" s="17">
        <v>286</v>
      </c>
      <c r="G659" s="17">
        <v>6.7</v>
      </c>
      <c r="H659" s="17" t="str">
        <f>INDEX(Employees!$B$2:$B$17,MATCH(B659,Employees!$A$2:$A$17,0))</f>
        <v>Riley</v>
      </c>
      <c r="I659" s="17" t="str">
        <f>INDEX(Employees!$C$2:$C$17,MATCH(B659,Employees!$A$2:$A$17,0))</f>
        <v>Packer</v>
      </c>
      <c r="J659" s="25">
        <f t="shared" si="20"/>
        <v>42.686567164179102</v>
      </c>
      <c r="K659" s="19">
        <f>IF(J659=0,0,J659/INDEX('Labor Dashboard'!$C$36:$C$39,MATCH(E659,'Labor Dashboard'!$B$36:$B$39,0)))</f>
        <v>0.94859038142620222</v>
      </c>
      <c r="L659" s="18">
        <f t="shared" si="21"/>
        <v>9</v>
      </c>
      <c r="M659" s="20">
        <f>G659*INDEX(Employees!$E$2:$E$17,MATCH(B659,Employees!$A$2:$A$17,0))</f>
        <v>113.9</v>
      </c>
    </row>
    <row r="660" spans="1:13" ht="18" x14ac:dyDescent="0.2">
      <c r="A660" s="17">
        <v>1546</v>
      </c>
      <c r="B660" s="17">
        <v>22</v>
      </c>
      <c r="C660" s="17" t="s">
        <v>494</v>
      </c>
      <c r="D660" s="17" t="s">
        <v>791</v>
      </c>
      <c r="E660" s="17" t="s">
        <v>794</v>
      </c>
      <c r="F660" s="17">
        <v>360</v>
      </c>
      <c r="G660" s="17">
        <v>6.9</v>
      </c>
      <c r="H660" s="17" t="str">
        <f>INDEX(Employees!$B$2:$B$17,MATCH(B660,Employees!$A$2:$A$17,0))</f>
        <v>Avery</v>
      </c>
      <c r="I660" s="17" t="str">
        <f>INDEX(Employees!$C$2:$C$17,MATCH(B660,Employees!$A$2:$A$17,0))</f>
        <v>Packer</v>
      </c>
      <c r="J660" s="25">
        <f t="shared" si="20"/>
        <v>52.173913043478258</v>
      </c>
      <c r="K660" s="19">
        <f>IF(J660=0,0,J660/INDEX('Labor Dashboard'!$C$36:$C$39,MATCH(E660,'Labor Dashboard'!$B$36:$B$39,0)))</f>
        <v>1.1594202898550725</v>
      </c>
      <c r="L660" s="18">
        <f t="shared" si="21"/>
        <v>9</v>
      </c>
      <c r="M660" s="20">
        <f>G660*INDEX(Employees!$E$2:$E$17,MATCH(B660,Employees!$A$2:$A$17,0))</f>
        <v>117.30000000000001</v>
      </c>
    </row>
    <row r="661" spans="1:13" ht="18" x14ac:dyDescent="0.2">
      <c r="A661" s="17">
        <v>1547</v>
      </c>
      <c r="B661" s="17">
        <v>24</v>
      </c>
      <c r="C661" s="17" t="s">
        <v>494</v>
      </c>
      <c r="D661" s="17" t="s">
        <v>791</v>
      </c>
      <c r="E661" s="17" t="s">
        <v>795</v>
      </c>
      <c r="F661" s="17">
        <v>220</v>
      </c>
      <c r="G661" s="17">
        <v>7.1</v>
      </c>
      <c r="H661" s="17" t="str">
        <f>INDEX(Employees!$B$2:$B$17,MATCH(B661,Employees!$A$2:$A$17,0))</f>
        <v>Dakota</v>
      </c>
      <c r="I661" s="17" t="str">
        <f>INDEX(Employees!$C$2:$C$17,MATCH(B661,Employees!$A$2:$A$17,0))</f>
        <v>Forklift Operator</v>
      </c>
      <c r="J661" s="25">
        <f t="shared" si="20"/>
        <v>30.985915492957748</v>
      </c>
      <c r="K661" s="19">
        <f>IF(J661=0,0,J661/INDEX('Labor Dashboard'!$C$36:$C$39,MATCH(E661,'Labor Dashboard'!$B$36:$B$39,0)))</f>
        <v>1.0328638497652582</v>
      </c>
      <c r="L661" s="18">
        <f t="shared" si="21"/>
        <v>9</v>
      </c>
      <c r="M661" s="20">
        <f>G661*INDEX(Employees!$E$2:$E$17,MATCH(B661,Employees!$A$2:$A$17,0))</f>
        <v>138.44999999999999</v>
      </c>
    </row>
    <row r="662" spans="1:13" ht="18" x14ac:dyDescent="0.2">
      <c r="A662" s="17">
        <v>1548</v>
      </c>
      <c r="B662" s="17">
        <v>25</v>
      </c>
      <c r="C662" s="17" t="s">
        <v>494</v>
      </c>
      <c r="D662" s="17" t="s">
        <v>793</v>
      </c>
      <c r="E662" s="17" t="s">
        <v>795</v>
      </c>
      <c r="F662" s="17">
        <v>209</v>
      </c>
      <c r="G662" s="17">
        <v>7.4</v>
      </c>
      <c r="H662" s="17" t="str">
        <f>INDEX(Employees!$B$2:$B$17,MATCH(B662,Employees!$A$2:$A$17,0))</f>
        <v>Hayden</v>
      </c>
      <c r="I662" s="17" t="str">
        <f>INDEX(Employees!$C$2:$C$17,MATCH(B662,Employees!$A$2:$A$17,0))</f>
        <v>Forklift Operator</v>
      </c>
      <c r="J662" s="25">
        <f t="shared" si="20"/>
        <v>28.243243243243242</v>
      </c>
      <c r="K662" s="19">
        <f>IF(J662=0,0,J662/INDEX('Labor Dashboard'!$C$36:$C$39,MATCH(E662,'Labor Dashboard'!$B$36:$B$39,0)))</f>
        <v>0.94144144144144137</v>
      </c>
      <c r="L662" s="18">
        <f t="shared" si="21"/>
        <v>9</v>
      </c>
      <c r="M662" s="20">
        <f>G662*INDEX(Employees!$E$2:$E$17,MATCH(B662,Employees!$A$2:$A$17,0))</f>
        <v>144.30000000000001</v>
      </c>
    </row>
    <row r="663" spans="1:13" ht="18" x14ac:dyDescent="0.2">
      <c r="A663" s="17">
        <v>1549</v>
      </c>
      <c r="B663" s="17">
        <v>26</v>
      </c>
      <c r="C663" s="17" t="s">
        <v>494</v>
      </c>
      <c r="D663" s="17" t="s">
        <v>791</v>
      </c>
      <c r="E663" s="17" t="s">
        <v>795</v>
      </c>
      <c r="F663" s="17">
        <v>227</v>
      </c>
      <c r="G663" s="17">
        <v>7.9</v>
      </c>
      <c r="H663" s="17" t="str">
        <f>INDEX(Employees!$B$2:$B$17,MATCH(B663,Employees!$A$2:$A$17,0))</f>
        <v>Reese</v>
      </c>
      <c r="I663" s="17" t="str">
        <f>INDEX(Employees!$C$2:$C$17,MATCH(B663,Employees!$A$2:$A$17,0))</f>
        <v>Receiving Clerk</v>
      </c>
      <c r="J663" s="25">
        <f t="shared" si="20"/>
        <v>28.734177215189874</v>
      </c>
      <c r="K663" s="19">
        <f>IF(J663=0,0,J663/INDEX('Labor Dashboard'!$C$36:$C$39,MATCH(E663,'Labor Dashboard'!$B$36:$B$39,0)))</f>
        <v>0.95780590717299574</v>
      </c>
      <c r="L663" s="18">
        <f t="shared" si="21"/>
        <v>9</v>
      </c>
      <c r="M663" s="20">
        <f>G663*INDEX(Employees!$E$2:$E$17,MATCH(B663,Employees!$A$2:$A$17,0))</f>
        <v>142.20000000000002</v>
      </c>
    </row>
    <row r="664" spans="1:13" ht="18" x14ac:dyDescent="0.2">
      <c r="A664" s="17">
        <v>1550</v>
      </c>
      <c r="B664" s="17">
        <v>28</v>
      </c>
      <c r="C664" s="17" t="s">
        <v>494</v>
      </c>
      <c r="D664" s="17" t="s">
        <v>791</v>
      </c>
      <c r="E664" s="17" t="s">
        <v>796</v>
      </c>
      <c r="F664" s="17">
        <v>192</v>
      </c>
      <c r="G664" s="17">
        <v>7.6</v>
      </c>
      <c r="H664" s="17" t="str">
        <f>INDEX(Employees!$B$2:$B$17,MATCH(B664,Employees!$A$2:$A$17,0))</f>
        <v>Peyton</v>
      </c>
      <c r="I664" s="17" t="str">
        <f>INDEX(Employees!$C$2:$C$17,MATCH(B664,Employees!$A$2:$A$17,0))</f>
        <v>Cycle Counter</v>
      </c>
      <c r="J664" s="25">
        <f t="shared" si="20"/>
        <v>25.263157894736842</v>
      </c>
      <c r="K664" s="19">
        <f>IF(J664=0,0,J664/INDEX('Labor Dashboard'!$C$36:$C$39,MATCH(E664,'Labor Dashboard'!$B$36:$B$39,0)))</f>
        <v>1.0105263157894737</v>
      </c>
      <c r="L664" s="18">
        <f t="shared" si="21"/>
        <v>9</v>
      </c>
      <c r="M664" s="20">
        <f>G664*INDEX(Employees!$E$2:$E$17,MATCH(B664,Employees!$A$2:$A$17,0))</f>
        <v>136.79999999999998</v>
      </c>
    </row>
    <row r="665" spans="1:13" ht="18" x14ac:dyDescent="0.2">
      <c r="A665" s="17">
        <v>1551</v>
      </c>
      <c r="B665" s="17">
        <v>29</v>
      </c>
      <c r="C665" s="17" t="s">
        <v>494</v>
      </c>
      <c r="D665" s="17" t="s">
        <v>793</v>
      </c>
      <c r="E665" s="17" t="s">
        <v>796</v>
      </c>
      <c r="F665" s="17">
        <v>199</v>
      </c>
      <c r="G665" s="17">
        <v>7.5</v>
      </c>
      <c r="H665" s="17" t="str">
        <f>INDEX(Employees!$B$2:$B$17,MATCH(B665,Employees!$A$2:$A$17,0))</f>
        <v>Rowan</v>
      </c>
      <c r="I665" s="17" t="str">
        <f>INDEX(Employees!$C$2:$C$17,MATCH(B665,Employees!$A$2:$A$17,0))</f>
        <v>Cycle Counter</v>
      </c>
      <c r="J665" s="25">
        <f t="shared" si="20"/>
        <v>26.533333333333335</v>
      </c>
      <c r="K665" s="19">
        <f>IF(J665=0,0,J665/INDEX('Labor Dashboard'!$C$36:$C$39,MATCH(E665,'Labor Dashboard'!$B$36:$B$39,0)))</f>
        <v>1.0613333333333335</v>
      </c>
      <c r="L665" s="18">
        <f t="shared" si="21"/>
        <v>9</v>
      </c>
      <c r="M665" s="20">
        <f>G665*INDEX(Employees!$E$2:$E$17,MATCH(B665,Employees!$A$2:$A$17,0))</f>
        <v>135</v>
      </c>
    </row>
    <row r="666" spans="1:13" ht="18" x14ac:dyDescent="0.2">
      <c r="A666" s="17">
        <v>1552</v>
      </c>
      <c r="B666" s="17">
        <v>30</v>
      </c>
      <c r="C666" s="17" t="s">
        <v>494</v>
      </c>
      <c r="D666" s="17" t="s">
        <v>791</v>
      </c>
      <c r="E666" s="17" t="s">
        <v>792</v>
      </c>
      <c r="F666" s="17">
        <v>396</v>
      </c>
      <c r="G666" s="17">
        <v>8.1999999999999993</v>
      </c>
      <c r="H666" s="17" t="str">
        <f>INDEX(Employees!$B$2:$B$17,MATCH(B666,Employees!$A$2:$A$17,0))</f>
        <v>Emerson</v>
      </c>
      <c r="I666" s="17" t="str">
        <f>INDEX(Employees!$C$2:$C$17,MATCH(B666,Employees!$A$2:$A$17,0))</f>
        <v>Shift Supervisor</v>
      </c>
      <c r="J666" s="25">
        <f t="shared" si="20"/>
        <v>48.292682926829272</v>
      </c>
      <c r="K666" s="19">
        <f>IF(J666=0,0,J666/INDEX('Labor Dashboard'!$C$36:$C$39,MATCH(E666,'Labor Dashboard'!$B$36:$B$39,0)))</f>
        <v>0.87804878048780499</v>
      </c>
      <c r="L666" s="18">
        <f t="shared" si="21"/>
        <v>9</v>
      </c>
      <c r="M666" s="20">
        <f>G666*INDEX(Employees!$E$2:$E$17,MATCH(B666,Employees!$A$2:$A$17,0))</f>
        <v>196.79999999999998</v>
      </c>
    </row>
    <row r="667" spans="1:13" ht="18" x14ac:dyDescent="0.2">
      <c r="A667" s="17">
        <v>1553</v>
      </c>
      <c r="B667" s="17">
        <v>32</v>
      </c>
      <c r="C667" s="17" t="s">
        <v>494</v>
      </c>
      <c r="D667" s="17" t="s">
        <v>793</v>
      </c>
      <c r="E667" s="17" t="s">
        <v>795</v>
      </c>
      <c r="F667" s="17">
        <v>189</v>
      </c>
      <c r="G667" s="17">
        <v>6.8</v>
      </c>
      <c r="H667" s="17" t="str">
        <f>INDEX(Employees!$B$2:$B$17,MATCH(B667,Employees!$A$2:$A$17,0))</f>
        <v>Sawyer</v>
      </c>
      <c r="I667" s="17" t="str">
        <f>INDEX(Employees!$C$2:$C$17,MATCH(B667,Employees!$A$2:$A$17,0))</f>
        <v>Shift Supervisor</v>
      </c>
      <c r="J667" s="25">
        <f t="shared" si="20"/>
        <v>27.794117647058822</v>
      </c>
      <c r="K667" s="19">
        <f>IF(J667=0,0,J667/INDEX('Labor Dashboard'!$C$36:$C$39,MATCH(E667,'Labor Dashboard'!$B$36:$B$39,0)))</f>
        <v>0.92647058823529405</v>
      </c>
      <c r="L667" s="18">
        <f t="shared" si="21"/>
        <v>9</v>
      </c>
      <c r="M667" s="20">
        <f>G667*INDEX(Employees!$E$2:$E$17,MATCH(B667,Employees!$A$2:$A$17,0))</f>
        <v>163.19999999999999</v>
      </c>
    </row>
    <row r="668" spans="1:13" ht="18" x14ac:dyDescent="0.2">
      <c r="A668" s="17">
        <v>1554</v>
      </c>
      <c r="B668" s="17">
        <v>17</v>
      </c>
      <c r="C668" s="17" t="s">
        <v>525</v>
      </c>
      <c r="D668" s="17" t="s">
        <v>791</v>
      </c>
      <c r="E668" s="17" t="s">
        <v>792</v>
      </c>
      <c r="F668" s="17">
        <v>325</v>
      </c>
      <c r="G668" s="17">
        <v>6.5</v>
      </c>
      <c r="H668" s="17" t="str">
        <f>INDEX(Employees!$B$2:$B$17,MATCH(B668,Employees!$A$2:$A$17,0))</f>
        <v>Jordan</v>
      </c>
      <c r="I668" s="17" t="str">
        <f>INDEX(Employees!$C$2:$C$17,MATCH(B668,Employees!$A$2:$A$17,0))</f>
        <v>Picker</v>
      </c>
      <c r="J668" s="25">
        <f t="shared" si="20"/>
        <v>50</v>
      </c>
      <c r="K668" s="19">
        <f>IF(J668=0,0,J668/INDEX('Labor Dashboard'!$C$36:$C$39,MATCH(E668,'Labor Dashboard'!$B$36:$B$39,0)))</f>
        <v>0.90909090909090906</v>
      </c>
      <c r="L668" s="18">
        <f t="shared" si="21"/>
        <v>9</v>
      </c>
      <c r="M668" s="20">
        <f>G668*INDEX(Employees!$E$2:$E$17,MATCH(B668,Employees!$A$2:$A$17,0))</f>
        <v>110.5</v>
      </c>
    </row>
    <row r="669" spans="1:13" ht="18" x14ac:dyDescent="0.2">
      <c r="A669" s="17">
        <v>1555</v>
      </c>
      <c r="B669" s="17">
        <v>19</v>
      </c>
      <c r="C669" s="17" t="s">
        <v>525</v>
      </c>
      <c r="D669" s="17" t="s">
        <v>793</v>
      </c>
      <c r="E669" s="17" t="s">
        <v>792</v>
      </c>
      <c r="F669" s="17">
        <v>363</v>
      </c>
      <c r="G669" s="17">
        <v>6.6</v>
      </c>
      <c r="H669" s="17" t="str">
        <f>INDEX(Employees!$B$2:$B$17,MATCH(B669,Employees!$A$2:$A$17,0))</f>
        <v>Morgan</v>
      </c>
      <c r="I669" s="17" t="str">
        <f>INDEX(Employees!$C$2:$C$17,MATCH(B669,Employees!$A$2:$A$17,0))</f>
        <v>Picker</v>
      </c>
      <c r="J669" s="25">
        <f t="shared" si="20"/>
        <v>55</v>
      </c>
      <c r="K669" s="19">
        <f>IF(J669=0,0,J669/INDEX('Labor Dashboard'!$C$36:$C$39,MATCH(E669,'Labor Dashboard'!$B$36:$B$39,0)))</f>
        <v>1</v>
      </c>
      <c r="L669" s="18">
        <f t="shared" si="21"/>
        <v>9</v>
      </c>
      <c r="M669" s="20">
        <f>G669*INDEX(Employees!$E$2:$E$17,MATCH(B669,Employees!$A$2:$A$17,0))</f>
        <v>112.19999999999999</v>
      </c>
    </row>
    <row r="670" spans="1:13" ht="18" x14ac:dyDescent="0.2">
      <c r="A670" s="17">
        <v>1556</v>
      </c>
      <c r="B670" s="17">
        <v>20</v>
      </c>
      <c r="C670" s="17" t="s">
        <v>525</v>
      </c>
      <c r="D670" s="17" t="s">
        <v>791</v>
      </c>
      <c r="E670" s="17" t="s">
        <v>792</v>
      </c>
      <c r="F670" s="17">
        <v>401</v>
      </c>
      <c r="G670" s="17">
        <v>7.9</v>
      </c>
      <c r="H670" s="17" t="str">
        <f>INDEX(Employees!$B$2:$B$17,MATCH(B670,Employees!$A$2:$A$17,0))</f>
        <v>Taylor</v>
      </c>
      <c r="I670" s="17" t="str">
        <f>INDEX(Employees!$C$2:$C$17,MATCH(B670,Employees!$A$2:$A$17,0))</f>
        <v>Picker</v>
      </c>
      <c r="J670" s="25">
        <f t="shared" si="20"/>
        <v>50.759493670886073</v>
      </c>
      <c r="K670" s="19">
        <f>IF(J670=0,0,J670/INDEX('Labor Dashboard'!$C$36:$C$39,MATCH(E670,'Labor Dashboard'!$B$36:$B$39,0)))</f>
        <v>0.92289988492520136</v>
      </c>
      <c r="L670" s="18">
        <f t="shared" si="21"/>
        <v>9</v>
      </c>
      <c r="M670" s="20">
        <f>G670*INDEX(Employees!$E$2:$E$17,MATCH(B670,Employees!$A$2:$A$17,0))</f>
        <v>134.30000000000001</v>
      </c>
    </row>
    <row r="671" spans="1:13" ht="18" x14ac:dyDescent="0.2">
      <c r="A671" s="17">
        <v>1557</v>
      </c>
      <c r="B671" s="17">
        <v>21</v>
      </c>
      <c r="C671" s="17" t="s">
        <v>525</v>
      </c>
      <c r="D671" s="17" t="s">
        <v>793</v>
      </c>
      <c r="E671" s="17" t="s">
        <v>794</v>
      </c>
      <c r="F671" s="17">
        <v>278</v>
      </c>
      <c r="G671" s="17">
        <v>6.7</v>
      </c>
      <c r="H671" s="17" t="str">
        <f>INDEX(Employees!$B$2:$B$17,MATCH(B671,Employees!$A$2:$A$17,0))</f>
        <v>Riley</v>
      </c>
      <c r="I671" s="17" t="str">
        <f>INDEX(Employees!$C$2:$C$17,MATCH(B671,Employees!$A$2:$A$17,0))</f>
        <v>Packer</v>
      </c>
      <c r="J671" s="25">
        <f t="shared" si="20"/>
        <v>41.492537313432834</v>
      </c>
      <c r="K671" s="19">
        <f>IF(J671=0,0,J671/INDEX('Labor Dashboard'!$C$36:$C$39,MATCH(E671,'Labor Dashboard'!$B$36:$B$39,0)))</f>
        <v>0.92205638474295182</v>
      </c>
      <c r="L671" s="18">
        <f t="shared" si="21"/>
        <v>9</v>
      </c>
      <c r="M671" s="20">
        <f>G671*INDEX(Employees!$E$2:$E$17,MATCH(B671,Employees!$A$2:$A$17,0))</f>
        <v>113.9</v>
      </c>
    </row>
    <row r="672" spans="1:13" ht="18" x14ac:dyDescent="0.2">
      <c r="A672" s="17">
        <v>1558</v>
      </c>
      <c r="B672" s="17">
        <v>22</v>
      </c>
      <c r="C672" s="17" t="s">
        <v>525</v>
      </c>
      <c r="D672" s="17" t="s">
        <v>793</v>
      </c>
      <c r="E672" s="17" t="s">
        <v>794</v>
      </c>
      <c r="F672" s="17">
        <v>360</v>
      </c>
      <c r="G672" s="17">
        <v>7.9</v>
      </c>
      <c r="H672" s="17" t="str">
        <f>INDEX(Employees!$B$2:$B$17,MATCH(B672,Employees!$A$2:$A$17,0))</f>
        <v>Avery</v>
      </c>
      <c r="I672" s="17" t="str">
        <f>INDEX(Employees!$C$2:$C$17,MATCH(B672,Employees!$A$2:$A$17,0))</f>
        <v>Packer</v>
      </c>
      <c r="J672" s="25">
        <f t="shared" si="20"/>
        <v>45.569620253164558</v>
      </c>
      <c r="K672" s="19">
        <f>IF(J672=0,0,J672/INDEX('Labor Dashboard'!$C$36:$C$39,MATCH(E672,'Labor Dashboard'!$B$36:$B$39,0)))</f>
        <v>1.0126582278481013</v>
      </c>
      <c r="L672" s="18">
        <f t="shared" si="21"/>
        <v>9</v>
      </c>
      <c r="M672" s="20">
        <f>G672*INDEX(Employees!$E$2:$E$17,MATCH(B672,Employees!$A$2:$A$17,0))</f>
        <v>134.30000000000001</v>
      </c>
    </row>
    <row r="673" spans="1:13" ht="18" x14ac:dyDescent="0.2">
      <c r="A673" s="17">
        <v>1559</v>
      </c>
      <c r="B673" s="17">
        <v>23</v>
      </c>
      <c r="C673" s="17" t="s">
        <v>525</v>
      </c>
      <c r="D673" s="17" t="s">
        <v>791</v>
      </c>
      <c r="E673" s="17" t="s">
        <v>794</v>
      </c>
      <c r="F673" s="17">
        <v>337</v>
      </c>
      <c r="G673" s="17">
        <v>7.1</v>
      </c>
      <c r="H673" s="17" t="str">
        <f>INDEX(Employees!$B$2:$B$17,MATCH(B673,Employees!$A$2:$A$17,0))</f>
        <v>Cameron</v>
      </c>
      <c r="I673" s="17" t="str">
        <f>INDEX(Employees!$C$2:$C$17,MATCH(B673,Employees!$A$2:$A$17,0))</f>
        <v>Packer</v>
      </c>
      <c r="J673" s="25">
        <f t="shared" si="20"/>
        <v>47.464788732394368</v>
      </c>
      <c r="K673" s="19">
        <f>IF(J673=0,0,J673/INDEX('Labor Dashboard'!$C$36:$C$39,MATCH(E673,'Labor Dashboard'!$B$36:$B$39,0)))</f>
        <v>1.0547730829420972</v>
      </c>
      <c r="L673" s="18">
        <f t="shared" si="21"/>
        <v>9</v>
      </c>
      <c r="M673" s="20">
        <f>G673*INDEX(Employees!$E$2:$E$17,MATCH(B673,Employees!$A$2:$A$17,0))</f>
        <v>120.69999999999999</v>
      </c>
    </row>
    <row r="674" spans="1:13" ht="18" x14ac:dyDescent="0.2">
      <c r="A674" s="17">
        <v>1560</v>
      </c>
      <c r="B674" s="17">
        <v>24</v>
      </c>
      <c r="C674" s="17" t="s">
        <v>525</v>
      </c>
      <c r="D674" s="17" t="s">
        <v>793</v>
      </c>
      <c r="E674" s="17" t="s">
        <v>795</v>
      </c>
      <c r="F674" s="17">
        <v>248</v>
      </c>
      <c r="G674" s="17">
        <v>7.6</v>
      </c>
      <c r="H674" s="17" t="str">
        <f>INDEX(Employees!$B$2:$B$17,MATCH(B674,Employees!$A$2:$A$17,0))</f>
        <v>Dakota</v>
      </c>
      <c r="I674" s="17" t="str">
        <f>INDEX(Employees!$C$2:$C$17,MATCH(B674,Employees!$A$2:$A$17,0))</f>
        <v>Forklift Operator</v>
      </c>
      <c r="J674" s="25">
        <f t="shared" si="20"/>
        <v>32.631578947368425</v>
      </c>
      <c r="K674" s="19">
        <f>IF(J674=0,0,J674/INDEX('Labor Dashboard'!$C$36:$C$39,MATCH(E674,'Labor Dashboard'!$B$36:$B$39,0)))</f>
        <v>1.0877192982456141</v>
      </c>
      <c r="L674" s="18">
        <f t="shared" si="21"/>
        <v>9</v>
      </c>
      <c r="M674" s="20">
        <f>G674*INDEX(Employees!$E$2:$E$17,MATCH(B674,Employees!$A$2:$A$17,0))</f>
        <v>148.19999999999999</v>
      </c>
    </row>
    <row r="675" spans="1:13" ht="18" x14ac:dyDescent="0.2">
      <c r="A675" s="17">
        <v>1561</v>
      </c>
      <c r="B675" s="17">
        <v>25</v>
      </c>
      <c r="C675" s="17" t="s">
        <v>525</v>
      </c>
      <c r="D675" s="17" t="s">
        <v>791</v>
      </c>
      <c r="E675" s="17" t="s">
        <v>795</v>
      </c>
      <c r="F675" s="17">
        <v>247</v>
      </c>
      <c r="G675" s="17">
        <v>8.3000000000000007</v>
      </c>
      <c r="H675" s="17" t="str">
        <f>INDEX(Employees!$B$2:$B$17,MATCH(B675,Employees!$A$2:$A$17,0))</f>
        <v>Hayden</v>
      </c>
      <c r="I675" s="17" t="str">
        <f>INDEX(Employees!$C$2:$C$17,MATCH(B675,Employees!$A$2:$A$17,0))</f>
        <v>Forklift Operator</v>
      </c>
      <c r="J675" s="25">
        <f t="shared" si="20"/>
        <v>29.75903614457831</v>
      </c>
      <c r="K675" s="19">
        <f>IF(J675=0,0,J675/INDEX('Labor Dashboard'!$C$36:$C$39,MATCH(E675,'Labor Dashboard'!$B$36:$B$39,0)))</f>
        <v>0.99196787148594368</v>
      </c>
      <c r="L675" s="18">
        <f t="shared" si="21"/>
        <v>9</v>
      </c>
      <c r="M675" s="20">
        <f>G675*INDEX(Employees!$E$2:$E$17,MATCH(B675,Employees!$A$2:$A$17,0))</f>
        <v>161.85000000000002</v>
      </c>
    </row>
    <row r="676" spans="1:13" ht="18" x14ac:dyDescent="0.2">
      <c r="A676" s="17">
        <v>1562</v>
      </c>
      <c r="B676" s="17">
        <v>26</v>
      </c>
      <c r="C676" s="17" t="s">
        <v>525</v>
      </c>
      <c r="D676" s="17" t="s">
        <v>793</v>
      </c>
      <c r="E676" s="17" t="s">
        <v>795</v>
      </c>
      <c r="F676" s="17">
        <v>233</v>
      </c>
      <c r="G676" s="17">
        <v>8.5</v>
      </c>
      <c r="H676" s="17" t="str">
        <f>INDEX(Employees!$B$2:$B$17,MATCH(B676,Employees!$A$2:$A$17,0))</f>
        <v>Reese</v>
      </c>
      <c r="I676" s="17" t="str">
        <f>INDEX(Employees!$C$2:$C$17,MATCH(B676,Employees!$A$2:$A$17,0))</f>
        <v>Receiving Clerk</v>
      </c>
      <c r="J676" s="25">
        <f t="shared" si="20"/>
        <v>27.411764705882351</v>
      </c>
      <c r="K676" s="19">
        <f>IF(J676=0,0,J676/INDEX('Labor Dashboard'!$C$36:$C$39,MATCH(E676,'Labor Dashboard'!$B$36:$B$39,0)))</f>
        <v>0.9137254901960784</v>
      </c>
      <c r="L676" s="18">
        <f t="shared" si="21"/>
        <v>9</v>
      </c>
      <c r="M676" s="20">
        <f>G676*INDEX(Employees!$E$2:$E$17,MATCH(B676,Employees!$A$2:$A$17,0))</f>
        <v>153</v>
      </c>
    </row>
    <row r="677" spans="1:13" ht="18" x14ac:dyDescent="0.2">
      <c r="A677" s="17">
        <v>1563</v>
      </c>
      <c r="B677" s="17">
        <v>27</v>
      </c>
      <c r="C677" s="17" t="s">
        <v>525</v>
      </c>
      <c r="D677" s="17" t="s">
        <v>793</v>
      </c>
      <c r="E677" s="17" t="s">
        <v>795</v>
      </c>
      <c r="F677" s="17">
        <v>169</v>
      </c>
      <c r="G677" s="17">
        <v>7.3</v>
      </c>
      <c r="H677" s="17" t="str">
        <f>INDEX(Employees!$B$2:$B$17,MATCH(B677,Employees!$A$2:$A$17,0))</f>
        <v>Skyler</v>
      </c>
      <c r="I677" s="17" t="str">
        <f>INDEX(Employees!$C$2:$C$17,MATCH(B677,Employees!$A$2:$A$17,0))</f>
        <v>Receiving Clerk</v>
      </c>
      <c r="J677" s="25">
        <f t="shared" si="20"/>
        <v>23.150684931506849</v>
      </c>
      <c r="K677" s="19">
        <f>IF(J677=0,0,J677/INDEX('Labor Dashboard'!$C$36:$C$39,MATCH(E677,'Labor Dashboard'!$B$36:$B$39,0)))</f>
        <v>0.77168949771689499</v>
      </c>
      <c r="L677" s="18">
        <f t="shared" si="21"/>
        <v>9</v>
      </c>
      <c r="M677" s="20">
        <f>G677*INDEX(Employees!$E$2:$E$17,MATCH(B677,Employees!$A$2:$A$17,0))</f>
        <v>131.4</v>
      </c>
    </row>
    <row r="678" spans="1:13" ht="18" x14ac:dyDescent="0.2">
      <c r="A678" s="17">
        <v>1564</v>
      </c>
      <c r="B678" s="17">
        <v>28</v>
      </c>
      <c r="C678" s="17" t="s">
        <v>525</v>
      </c>
      <c r="D678" s="17" t="s">
        <v>793</v>
      </c>
      <c r="E678" s="17" t="s">
        <v>796</v>
      </c>
      <c r="F678" s="17">
        <v>168</v>
      </c>
      <c r="G678" s="17">
        <v>7.7</v>
      </c>
      <c r="H678" s="17" t="str">
        <f>INDEX(Employees!$B$2:$B$17,MATCH(B678,Employees!$A$2:$A$17,0))</f>
        <v>Peyton</v>
      </c>
      <c r="I678" s="17" t="str">
        <f>INDEX(Employees!$C$2:$C$17,MATCH(B678,Employees!$A$2:$A$17,0))</f>
        <v>Cycle Counter</v>
      </c>
      <c r="J678" s="25">
        <f t="shared" si="20"/>
        <v>21.818181818181817</v>
      </c>
      <c r="K678" s="19">
        <f>IF(J678=0,0,J678/INDEX('Labor Dashboard'!$C$36:$C$39,MATCH(E678,'Labor Dashboard'!$B$36:$B$39,0)))</f>
        <v>0.87272727272727268</v>
      </c>
      <c r="L678" s="18">
        <f t="shared" si="21"/>
        <v>9</v>
      </c>
      <c r="M678" s="20">
        <f>G678*INDEX(Employees!$E$2:$E$17,MATCH(B678,Employees!$A$2:$A$17,0))</f>
        <v>138.6</v>
      </c>
    </row>
    <row r="679" spans="1:13" ht="18" x14ac:dyDescent="0.2">
      <c r="A679" s="17">
        <v>1565</v>
      </c>
      <c r="B679" s="17">
        <v>29</v>
      </c>
      <c r="C679" s="17" t="s">
        <v>525</v>
      </c>
      <c r="D679" s="17" t="s">
        <v>793</v>
      </c>
      <c r="E679" s="17" t="s">
        <v>796</v>
      </c>
      <c r="F679" s="17">
        <v>203</v>
      </c>
      <c r="G679" s="17">
        <v>8.1</v>
      </c>
      <c r="H679" s="17" t="str">
        <f>INDEX(Employees!$B$2:$B$17,MATCH(B679,Employees!$A$2:$A$17,0))</f>
        <v>Rowan</v>
      </c>
      <c r="I679" s="17" t="str">
        <f>INDEX(Employees!$C$2:$C$17,MATCH(B679,Employees!$A$2:$A$17,0))</f>
        <v>Cycle Counter</v>
      </c>
      <c r="J679" s="25">
        <f t="shared" si="20"/>
        <v>25.061728395061728</v>
      </c>
      <c r="K679" s="19">
        <f>IF(J679=0,0,J679/INDEX('Labor Dashboard'!$C$36:$C$39,MATCH(E679,'Labor Dashboard'!$B$36:$B$39,0)))</f>
        <v>1.0024691358024691</v>
      </c>
      <c r="L679" s="18">
        <f t="shared" si="21"/>
        <v>9</v>
      </c>
      <c r="M679" s="20">
        <f>G679*INDEX(Employees!$E$2:$E$17,MATCH(B679,Employees!$A$2:$A$17,0))</f>
        <v>145.79999999999998</v>
      </c>
    </row>
    <row r="680" spans="1:13" ht="18" x14ac:dyDescent="0.2">
      <c r="A680" s="17">
        <v>1566</v>
      </c>
      <c r="B680" s="17">
        <v>30</v>
      </c>
      <c r="C680" s="17" t="s">
        <v>525</v>
      </c>
      <c r="D680" s="17" t="s">
        <v>793</v>
      </c>
      <c r="E680" s="17" t="s">
        <v>795</v>
      </c>
      <c r="F680" s="17">
        <v>170</v>
      </c>
      <c r="G680" s="17">
        <v>7.4</v>
      </c>
      <c r="H680" s="17" t="str">
        <f>INDEX(Employees!$B$2:$B$17,MATCH(B680,Employees!$A$2:$A$17,0))</f>
        <v>Emerson</v>
      </c>
      <c r="I680" s="17" t="str">
        <f>INDEX(Employees!$C$2:$C$17,MATCH(B680,Employees!$A$2:$A$17,0))</f>
        <v>Shift Supervisor</v>
      </c>
      <c r="J680" s="25">
        <f t="shared" si="20"/>
        <v>22.972972972972972</v>
      </c>
      <c r="K680" s="19">
        <f>IF(J680=0,0,J680/INDEX('Labor Dashboard'!$C$36:$C$39,MATCH(E680,'Labor Dashboard'!$B$36:$B$39,0)))</f>
        <v>0.76576576576576572</v>
      </c>
      <c r="L680" s="18">
        <f t="shared" si="21"/>
        <v>9</v>
      </c>
      <c r="M680" s="20">
        <f>G680*INDEX(Employees!$E$2:$E$17,MATCH(B680,Employees!$A$2:$A$17,0))</f>
        <v>177.60000000000002</v>
      </c>
    </row>
    <row r="681" spans="1:13" ht="18" x14ac:dyDescent="0.2">
      <c r="A681" s="17">
        <v>1567</v>
      </c>
      <c r="B681" s="17">
        <v>31</v>
      </c>
      <c r="C681" s="17" t="s">
        <v>525</v>
      </c>
      <c r="D681" s="17" t="s">
        <v>791</v>
      </c>
      <c r="E681" s="17" t="s">
        <v>794</v>
      </c>
      <c r="F681" s="17">
        <v>404</v>
      </c>
      <c r="G681" s="17">
        <v>7.5</v>
      </c>
      <c r="H681" s="17" t="str">
        <f>INDEX(Employees!$B$2:$B$17,MATCH(B681,Employees!$A$2:$A$17,0))</f>
        <v>Finley</v>
      </c>
      <c r="I681" s="17" t="str">
        <f>INDEX(Employees!$C$2:$C$17,MATCH(B681,Employees!$A$2:$A$17,0))</f>
        <v>Shift Supervisor</v>
      </c>
      <c r="J681" s="25">
        <f t="shared" si="20"/>
        <v>53.866666666666667</v>
      </c>
      <c r="K681" s="19">
        <f>IF(J681=0,0,J681/INDEX('Labor Dashboard'!$C$36:$C$39,MATCH(E681,'Labor Dashboard'!$B$36:$B$39,0)))</f>
        <v>1.1970370370370371</v>
      </c>
      <c r="L681" s="18">
        <f t="shared" si="21"/>
        <v>9</v>
      </c>
      <c r="M681" s="20">
        <f>G681*INDEX(Employees!$E$2:$E$17,MATCH(B681,Employees!$A$2:$A$17,0))</f>
        <v>180</v>
      </c>
    </row>
    <row r="682" spans="1:13" ht="18" x14ac:dyDescent="0.2">
      <c r="A682" s="17">
        <v>1568</v>
      </c>
      <c r="B682" s="17">
        <v>32</v>
      </c>
      <c r="C682" s="17" t="s">
        <v>525</v>
      </c>
      <c r="D682" s="17" t="s">
        <v>793</v>
      </c>
      <c r="E682" s="17" t="s">
        <v>796</v>
      </c>
      <c r="F682" s="17">
        <v>178</v>
      </c>
      <c r="G682" s="17">
        <v>7.7</v>
      </c>
      <c r="H682" s="17" t="str">
        <f>INDEX(Employees!$B$2:$B$17,MATCH(B682,Employees!$A$2:$A$17,0))</f>
        <v>Sawyer</v>
      </c>
      <c r="I682" s="17" t="str">
        <f>INDEX(Employees!$C$2:$C$17,MATCH(B682,Employees!$A$2:$A$17,0))</f>
        <v>Shift Supervisor</v>
      </c>
      <c r="J682" s="25">
        <f t="shared" si="20"/>
        <v>23.116883116883116</v>
      </c>
      <c r="K682" s="19">
        <f>IF(J682=0,0,J682/INDEX('Labor Dashboard'!$C$36:$C$39,MATCH(E682,'Labor Dashboard'!$B$36:$B$39,0)))</f>
        <v>0.92467532467532465</v>
      </c>
      <c r="L682" s="18">
        <f t="shared" si="21"/>
        <v>9</v>
      </c>
      <c r="M682" s="20">
        <f>G682*INDEX(Employees!$E$2:$E$17,MATCH(B682,Employees!$A$2:$A$17,0))</f>
        <v>184.8</v>
      </c>
    </row>
    <row r="683" spans="1:13" ht="18" x14ac:dyDescent="0.2">
      <c r="A683" s="17">
        <v>1569</v>
      </c>
      <c r="B683" s="17">
        <v>17</v>
      </c>
      <c r="C683" s="17" t="s">
        <v>182</v>
      </c>
      <c r="D683" s="17" t="s">
        <v>791</v>
      </c>
      <c r="E683" s="17" t="s">
        <v>792</v>
      </c>
      <c r="F683" s="17">
        <v>368</v>
      </c>
      <c r="G683" s="17">
        <v>8</v>
      </c>
      <c r="H683" s="17" t="str">
        <f>INDEX(Employees!$B$2:$B$17,MATCH(B683,Employees!$A$2:$A$17,0))</f>
        <v>Jordan</v>
      </c>
      <c r="I683" s="17" t="str">
        <f>INDEX(Employees!$C$2:$C$17,MATCH(B683,Employees!$A$2:$A$17,0))</f>
        <v>Picker</v>
      </c>
      <c r="J683" s="25">
        <f t="shared" si="20"/>
        <v>46</v>
      </c>
      <c r="K683" s="19">
        <f>IF(J683=0,0,J683/INDEX('Labor Dashboard'!$C$36:$C$39,MATCH(E683,'Labor Dashboard'!$B$36:$B$39,0)))</f>
        <v>0.83636363636363631</v>
      </c>
      <c r="L683" s="18">
        <f t="shared" si="21"/>
        <v>10</v>
      </c>
      <c r="M683" s="20">
        <f>G683*INDEX(Employees!$E$2:$E$17,MATCH(B683,Employees!$A$2:$A$17,0))</f>
        <v>136</v>
      </c>
    </row>
    <row r="684" spans="1:13" ht="18" x14ac:dyDescent="0.2">
      <c r="A684" s="17">
        <v>1570</v>
      </c>
      <c r="B684" s="17">
        <v>18</v>
      </c>
      <c r="C684" s="17" t="s">
        <v>182</v>
      </c>
      <c r="D684" s="17" t="s">
        <v>793</v>
      </c>
      <c r="E684" s="17" t="s">
        <v>792</v>
      </c>
      <c r="F684" s="17">
        <v>427</v>
      </c>
      <c r="G684" s="17">
        <v>7.6</v>
      </c>
      <c r="H684" s="17" t="str">
        <f>INDEX(Employees!$B$2:$B$17,MATCH(B684,Employees!$A$2:$A$17,0))</f>
        <v>Casey</v>
      </c>
      <c r="I684" s="17" t="str">
        <f>INDEX(Employees!$C$2:$C$17,MATCH(B684,Employees!$A$2:$A$17,0))</f>
        <v>Picker</v>
      </c>
      <c r="J684" s="25">
        <f t="shared" si="20"/>
        <v>56.184210526315795</v>
      </c>
      <c r="K684" s="19">
        <f>IF(J684=0,0,J684/INDEX('Labor Dashboard'!$C$36:$C$39,MATCH(E684,'Labor Dashboard'!$B$36:$B$39,0)))</f>
        <v>1.0215311004784691</v>
      </c>
      <c r="L684" s="18">
        <f t="shared" si="21"/>
        <v>10</v>
      </c>
      <c r="M684" s="20">
        <f>G684*INDEX(Employees!$E$2:$E$17,MATCH(B684,Employees!$A$2:$A$17,0))</f>
        <v>129.19999999999999</v>
      </c>
    </row>
    <row r="685" spans="1:13" ht="18" x14ac:dyDescent="0.2">
      <c r="A685" s="17">
        <v>1571</v>
      </c>
      <c r="B685" s="17">
        <v>19</v>
      </c>
      <c r="C685" s="17" t="s">
        <v>182</v>
      </c>
      <c r="D685" s="17" t="s">
        <v>791</v>
      </c>
      <c r="E685" s="17" t="s">
        <v>792</v>
      </c>
      <c r="F685" s="17">
        <v>441</v>
      </c>
      <c r="G685" s="17">
        <v>7.3</v>
      </c>
      <c r="H685" s="17" t="str">
        <f>INDEX(Employees!$B$2:$B$17,MATCH(B685,Employees!$A$2:$A$17,0))</f>
        <v>Morgan</v>
      </c>
      <c r="I685" s="17" t="str">
        <f>INDEX(Employees!$C$2:$C$17,MATCH(B685,Employees!$A$2:$A$17,0))</f>
        <v>Picker</v>
      </c>
      <c r="J685" s="25">
        <f t="shared" si="20"/>
        <v>60.410958904109592</v>
      </c>
      <c r="K685" s="19">
        <f>IF(J685=0,0,J685/INDEX('Labor Dashboard'!$C$36:$C$39,MATCH(E685,'Labor Dashboard'!$B$36:$B$39,0)))</f>
        <v>1.0983810709838107</v>
      </c>
      <c r="L685" s="18">
        <f t="shared" si="21"/>
        <v>10</v>
      </c>
      <c r="M685" s="20">
        <f>G685*INDEX(Employees!$E$2:$E$17,MATCH(B685,Employees!$A$2:$A$17,0))</f>
        <v>124.1</v>
      </c>
    </row>
    <row r="686" spans="1:13" ht="18" x14ac:dyDescent="0.2">
      <c r="A686" s="17">
        <v>1572</v>
      </c>
      <c r="B686" s="17">
        <v>20</v>
      </c>
      <c r="C686" s="17" t="s">
        <v>182</v>
      </c>
      <c r="D686" s="17" t="s">
        <v>793</v>
      </c>
      <c r="E686" s="17" t="s">
        <v>792</v>
      </c>
      <c r="F686" s="17">
        <v>383</v>
      </c>
      <c r="G686" s="17">
        <v>6.6</v>
      </c>
      <c r="H686" s="17" t="str">
        <f>INDEX(Employees!$B$2:$B$17,MATCH(B686,Employees!$A$2:$A$17,0))</f>
        <v>Taylor</v>
      </c>
      <c r="I686" s="17" t="str">
        <f>INDEX(Employees!$C$2:$C$17,MATCH(B686,Employees!$A$2:$A$17,0))</f>
        <v>Picker</v>
      </c>
      <c r="J686" s="25">
        <f t="shared" si="20"/>
        <v>58.030303030303031</v>
      </c>
      <c r="K686" s="19">
        <f>IF(J686=0,0,J686/INDEX('Labor Dashboard'!$C$36:$C$39,MATCH(E686,'Labor Dashboard'!$B$36:$B$39,0)))</f>
        <v>1.0550964187327825</v>
      </c>
      <c r="L686" s="18">
        <f t="shared" si="21"/>
        <v>10</v>
      </c>
      <c r="M686" s="20">
        <f>G686*INDEX(Employees!$E$2:$E$17,MATCH(B686,Employees!$A$2:$A$17,0))</f>
        <v>112.19999999999999</v>
      </c>
    </row>
    <row r="687" spans="1:13" ht="18" x14ac:dyDescent="0.2">
      <c r="A687" s="17">
        <v>1573</v>
      </c>
      <c r="B687" s="17">
        <v>22</v>
      </c>
      <c r="C687" s="17" t="s">
        <v>182</v>
      </c>
      <c r="D687" s="17" t="s">
        <v>793</v>
      </c>
      <c r="E687" s="17" t="s">
        <v>794</v>
      </c>
      <c r="F687" s="17">
        <v>372</v>
      </c>
      <c r="G687" s="17">
        <v>7.5</v>
      </c>
      <c r="H687" s="17" t="str">
        <f>INDEX(Employees!$B$2:$B$17,MATCH(B687,Employees!$A$2:$A$17,0))</f>
        <v>Avery</v>
      </c>
      <c r="I687" s="17" t="str">
        <f>INDEX(Employees!$C$2:$C$17,MATCH(B687,Employees!$A$2:$A$17,0))</f>
        <v>Packer</v>
      </c>
      <c r="J687" s="25">
        <f t="shared" si="20"/>
        <v>49.6</v>
      </c>
      <c r="K687" s="19">
        <f>IF(J687=0,0,J687/INDEX('Labor Dashboard'!$C$36:$C$39,MATCH(E687,'Labor Dashboard'!$B$36:$B$39,0)))</f>
        <v>1.1022222222222222</v>
      </c>
      <c r="L687" s="18">
        <f t="shared" si="21"/>
        <v>10</v>
      </c>
      <c r="M687" s="20">
        <f>G687*INDEX(Employees!$E$2:$E$17,MATCH(B687,Employees!$A$2:$A$17,0))</f>
        <v>127.5</v>
      </c>
    </row>
    <row r="688" spans="1:13" ht="18" x14ac:dyDescent="0.2">
      <c r="A688" s="17">
        <v>1574</v>
      </c>
      <c r="B688" s="17">
        <v>23</v>
      </c>
      <c r="C688" s="17" t="s">
        <v>182</v>
      </c>
      <c r="D688" s="17" t="s">
        <v>791</v>
      </c>
      <c r="E688" s="17" t="s">
        <v>794</v>
      </c>
      <c r="F688" s="17">
        <v>380</v>
      </c>
      <c r="G688" s="17">
        <v>8.4</v>
      </c>
      <c r="H688" s="17" t="str">
        <f>INDEX(Employees!$B$2:$B$17,MATCH(B688,Employees!$A$2:$A$17,0))</f>
        <v>Cameron</v>
      </c>
      <c r="I688" s="17" t="str">
        <f>INDEX(Employees!$C$2:$C$17,MATCH(B688,Employees!$A$2:$A$17,0))</f>
        <v>Packer</v>
      </c>
      <c r="J688" s="25">
        <f t="shared" si="20"/>
        <v>45.238095238095234</v>
      </c>
      <c r="K688" s="19">
        <f>IF(J688=0,0,J688/INDEX('Labor Dashboard'!$C$36:$C$39,MATCH(E688,'Labor Dashboard'!$B$36:$B$39,0)))</f>
        <v>1.0052910052910051</v>
      </c>
      <c r="L688" s="18">
        <f t="shared" si="21"/>
        <v>10</v>
      </c>
      <c r="M688" s="20">
        <f>G688*INDEX(Employees!$E$2:$E$17,MATCH(B688,Employees!$A$2:$A$17,0))</f>
        <v>142.80000000000001</v>
      </c>
    </row>
    <row r="689" spans="1:13" ht="18" x14ac:dyDescent="0.2">
      <c r="A689" s="17">
        <v>1575</v>
      </c>
      <c r="B689" s="17">
        <v>24</v>
      </c>
      <c r="C689" s="17" t="s">
        <v>182</v>
      </c>
      <c r="D689" s="17" t="s">
        <v>791</v>
      </c>
      <c r="E689" s="17" t="s">
        <v>792</v>
      </c>
      <c r="F689" s="17">
        <v>506</v>
      </c>
      <c r="G689" s="17">
        <v>8.4</v>
      </c>
      <c r="H689" s="17" t="str">
        <f>INDEX(Employees!$B$2:$B$17,MATCH(B689,Employees!$A$2:$A$17,0))</f>
        <v>Dakota</v>
      </c>
      <c r="I689" s="17" t="str">
        <f>INDEX(Employees!$C$2:$C$17,MATCH(B689,Employees!$A$2:$A$17,0))</f>
        <v>Forklift Operator</v>
      </c>
      <c r="J689" s="25">
        <f t="shared" si="20"/>
        <v>60.238095238095234</v>
      </c>
      <c r="K689" s="19">
        <f>IF(J689=0,0,J689/INDEX('Labor Dashboard'!$C$36:$C$39,MATCH(E689,'Labor Dashboard'!$B$36:$B$39,0)))</f>
        <v>1.0952380952380951</v>
      </c>
      <c r="L689" s="18">
        <f t="shared" si="21"/>
        <v>10</v>
      </c>
      <c r="M689" s="20">
        <f>G689*INDEX(Employees!$E$2:$E$17,MATCH(B689,Employees!$A$2:$A$17,0))</f>
        <v>163.80000000000001</v>
      </c>
    </row>
    <row r="690" spans="1:13" ht="18" x14ac:dyDescent="0.2">
      <c r="A690" s="17">
        <v>1576</v>
      </c>
      <c r="B690" s="17">
        <v>25</v>
      </c>
      <c r="C690" s="17" t="s">
        <v>182</v>
      </c>
      <c r="D690" s="17" t="s">
        <v>791</v>
      </c>
      <c r="E690" s="17" t="s">
        <v>792</v>
      </c>
      <c r="F690" s="17">
        <v>512</v>
      </c>
      <c r="G690" s="17">
        <v>8.5</v>
      </c>
      <c r="H690" s="17" t="str">
        <f>INDEX(Employees!$B$2:$B$17,MATCH(B690,Employees!$A$2:$A$17,0))</f>
        <v>Hayden</v>
      </c>
      <c r="I690" s="17" t="str">
        <f>INDEX(Employees!$C$2:$C$17,MATCH(B690,Employees!$A$2:$A$17,0))</f>
        <v>Forklift Operator</v>
      </c>
      <c r="J690" s="25">
        <f t="shared" si="20"/>
        <v>60.235294117647058</v>
      </c>
      <c r="K690" s="19">
        <f>IF(J690=0,0,J690/INDEX('Labor Dashboard'!$C$36:$C$39,MATCH(E690,'Labor Dashboard'!$B$36:$B$39,0)))</f>
        <v>1.0951871657754011</v>
      </c>
      <c r="L690" s="18">
        <f t="shared" si="21"/>
        <v>10</v>
      </c>
      <c r="M690" s="20">
        <f>G690*INDEX(Employees!$E$2:$E$17,MATCH(B690,Employees!$A$2:$A$17,0))</f>
        <v>165.75</v>
      </c>
    </row>
    <row r="691" spans="1:13" ht="18" x14ac:dyDescent="0.2">
      <c r="A691" s="17">
        <v>1577</v>
      </c>
      <c r="B691" s="17">
        <v>26</v>
      </c>
      <c r="C691" s="17" t="s">
        <v>182</v>
      </c>
      <c r="D691" s="17" t="s">
        <v>793</v>
      </c>
      <c r="E691" s="17" t="s">
        <v>795</v>
      </c>
      <c r="F691" s="17">
        <v>220</v>
      </c>
      <c r="G691" s="17">
        <v>7.8</v>
      </c>
      <c r="H691" s="17" t="str">
        <f>INDEX(Employees!$B$2:$B$17,MATCH(B691,Employees!$A$2:$A$17,0))</f>
        <v>Reese</v>
      </c>
      <c r="I691" s="17" t="str">
        <f>INDEX(Employees!$C$2:$C$17,MATCH(B691,Employees!$A$2:$A$17,0))</f>
        <v>Receiving Clerk</v>
      </c>
      <c r="J691" s="25">
        <f t="shared" si="20"/>
        <v>28.205128205128204</v>
      </c>
      <c r="K691" s="19">
        <f>IF(J691=0,0,J691/INDEX('Labor Dashboard'!$C$36:$C$39,MATCH(E691,'Labor Dashboard'!$B$36:$B$39,0)))</f>
        <v>0.94017094017094016</v>
      </c>
      <c r="L691" s="18">
        <f t="shared" si="21"/>
        <v>10</v>
      </c>
      <c r="M691" s="20">
        <f>G691*INDEX(Employees!$E$2:$E$17,MATCH(B691,Employees!$A$2:$A$17,0))</f>
        <v>140.4</v>
      </c>
    </row>
    <row r="692" spans="1:13" ht="18" x14ac:dyDescent="0.2">
      <c r="A692" s="17">
        <v>1578</v>
      </c>
      <c r="B692" s="17">
        <v>27</v>
      </c>
      <c r="C692" s="17" t="s">
        <v>182</v>
      </c>
      <c r="D692" s="17" t="s">
        <v>791</v>
      </c>
      <c r="E692" s="17" t="s">
        <v>795</v>
      </c>
      <c r="F692" s="17">
        <v>154</v>
      </c>
      <c r="G692" s="17">
        <v>6.6</v>
      </c>
      <c r="H692" s="17" t="str">
        <f>INDEX(Employees!$B$2:$B$17,MATCH(B692,Employees!$A$2:$A$17,0))</f>
        <v>Skyler</v>
      </c>
      <c r="I692" s="17" t="str">
        <f>INDEX(Employees!$C$2:$C$17,MATCH(B692,Employees!$A$2:$A$17,0))</f>
        <v>Receiving Clerk</v>
      </c>
      <c r="J692" s="25">
        <f t="shared" si="20"/>
        <v>23.333333333333336</v>
      </c>
      <c r="K692" s="19">
        <f>IF(J692=0,0,J692/INDEX('Labor Dashboard'!$C$36:$C$39,MATCH(E692,'Labor Dashboard'!$B$36:$B$39,0)))</f>
        <v>0.7777777777777779</v>
      </c>
      <c r="L692" s="18">
        <f t="shared" si="21"/>
        <v>10</v>
      </c>
      <c r="M692" s="20">
        <f>G692*INDEX(Employees!$E$2:$E$17,MATCH(B692,Employees!$A$2:$A$17,0))</f>
        <v>118.8</v>
      </c>
    </row>
    <row r="693" spans="1:13" ht="18" x14ac:dyDescent="0.2">
      <c r="A693" s="17">
        <v>1579</v>
      </c>
      <c r="B693" s="17">
        <v>28</v>
      </c>
      <c r="C693" s="17" t="s">
        <v>182</v>
      </c>
      <c r="D693" s="17" t="s">
        <v>793</v>
      </c>
      <c r="E693" s="17" t="s">
        <v>796</v>
      </c>
      <c r="F693" s="17">
        <v>182</v>
      </c>
      <c r="G693" s="17">
        <v>7.4</v>
      </c>
      <c r="H693" s="17" t="str">
        <f>INDEX(Employees!$B$2:$B$17,MATCH(B693,Employees!$A$2:$A$17,0))</f>
        <v>Peyton</v>
      </c>
      <c r="I693" s="17" t="str">
        <f>INDEX(Employees!$C$2:$C$17,MATCH(B693,Employees!$A$2:$A$17,0))</f>
        <v>Cycle Counter</v>
      </c>
      <c r="J693" s="25">
        <f t="shared" si="20"/>
        <v>24.594594594594593</v>
      </c>
      <c r="K693" s="19">
        <f>IF(J693=0,0,J693/INDEX('Labor Dashboard'!$C$36:$C$39,MATCH(E693,'Labor Dashboard'!$B$36:$B$39,0)))</f>
        <v>0.98378378378378373</v>
      </c>
      <c r="L693" s="18">
        <f t="shared" si="21"/>
        <v>10</v>
      </c>
      <c r="M693" s="20">
        <f>G693*INDEX(Employees!$E$2:$E$17,MATCH(B693,Employees!$A$2:$A$17,0))</f>
        <v>133.20000000000002</v>
      </c>
    </row>
    <row r="694" spans="1:13" ht="18" x14ac:dyDescent="0.2">
      <c r="A694" s="17">
        <v>1580</v>
      </c>
      <c r="B694" s="17">
        <v>29</v>
      </c>
      <c r="C694" s="17" t="s">
        <v>182</v>
      </c>
      <c r="D694" s="17" t="s">
        <v>791</v>
      </c>
      <c r="E694" s="17" t="s">
        <v>796</v>
      </c>
      <c r="F694" s="17">
        <v>158</v>
      </c>
      <c r="G694" s="17">
        <v>6.6</v>
      </c>
      <c r="H694" s="17" t="str">
        <f>INDEX(Employees!$B$2:$B$17,MATCH(B694,Employees!$A$2:$A$17,0))</f>
        <v>Rowan</v>
      </c>
      <c r="I694" s="17" t="str">
        <f>INDEX(Employees!$C$2:$C$17,MATCH(B694,Employees!$A$2:$A$17,0))</f>
        <v>Cycle Counter</v>
      </c>
      <c r="J694" s="25">
        <f t="shared" si="20"/>
        <v>23.939393939393941</v>
      </c>
      <c r="K694" s="19">
        <f>IF(J694=0,0,J694/INDEX('Labor Dashboard'!$C$36:$C$39,MATCH(E694,'Labor Dashboard'!$B$36:$B$39,0)))</f>
        <v>0.95757575757575764</v>
      </c>
      <c r="L694" s="18">
        <f t="shared" si="21"/>
        <v>10</v>
      </c>
      <c r="M694" s="20">
        <f>G694*INDEX(Employees!$E$2:$E$17,MATCH(B694,Employees!$A$2:$A$17,0))</f>
        <v>118.8</v>
      </c>
    </row>
    <row r="695" spans="1:13" ht="18" x14ac:dyDescent="0.2">
      <c r="A695" s="17">
        <v>1581</v>
      </c>
      <c r="B695" s="17">
        <v>31</v>
      </c>
      <c r="C695" s="17" t="s">
        <v>182</v>
      </c>
      <c r="D695" s="17" t="s">
        <v>793</v>
      </c>
      <c r="E695" s="17" t="s">
        <v>794</v>
      </c>
      <c r="F695" s="17">
        <v>350</v>
      </c>
      <c r="G695" s="17">
        <v>7.8</v>
      </c>
      <c r="H695" s="17" t="str">
        <f>INDEX(Employees!$B$2:$B$17,MATCH(B695,Employees!$A$2:$A$17,0))</f>
        <v>Finley</v>
      </c>
      <c r="I695" s="17" t="str">
        <f>INDEX(Employees!$C$2:$C$17,MATCH(B695,Employees!$A$2:$A$17,0))</f>
        <v>Shift Supervisor</v>
      </c>
      <c r="J695" s="25">
        <f t="shared" si="20"/>
        <v>44.871794871794876</v>
      </c>
      <c r="K695" s="19">
        <f>IF(J695=0,0,J695/INDEX('Labor Dashboard'!$C$36:$C$39,MATCH(E695,'Labor Dashboard'!$B$36:$B$39,0)))</f>
        <v>0.9971509971509972</v>
      </c>
      <c r="L695" s="18">
        <f t="shared" si="21"/>
        <v>10</v>
      </c>
      <c r="M695" s="20">
        <f>G695*INDEX(Employees!$E$2:$E$17,MATCH(B695,Employees!$A$2:$A$17,0))</f>
        <v>187.2</v>
      </c>
    </row>
    <row r="696" spans="1:13" ht="18" x14ac:dyDescent="0.2">
      <c r="A696" s="17">
        <v>1582</v>
      </c>
      <c r="B696" s="17">
        <v>32</v>
      </c>
      <c r="C696" s="17" t="s">
        <v>182</v>
      </c>
      <c r="D696" s="17" t="s">
        <v>793</v>
      </c>
      <c r="E696" s="17" t="s">
        <v>794</v>
      </c>
      <c r="F696" s="17">
        <v>309</v>
      </c>
      <c r="G696" s="17">
        <v>8</v>
      </c>
      <c r="H696" s="17" t="str">
        <f>INDEX(Employees!$B$2:$B$17,MATCH(B696,Employees!$A$2:$A$17,0))</f>
        <v>Sawyer</v>
      </c>
      <c r="I696" s="17" t="str">
        <f>INDEX(Employees!$C$2:$C$17,MATCH(B696,Employees!$A$2:$A$17,0))</f>
        <v>Shift Supervisor</v>
      </c>
      <c r="J696" s="25">
        <f t="shared" si="20"/>
        <v>38.625</v>
      </c>
      <c r="K696" s="19">
        <f>IF(J696=0,0,J696/INDEX('Labor Dashboard'!$C$36:$C$39,MATCH(E696,'Labor Dashboard'!$B$36:$B$39,0)))</f>
        <v>0.85833333333333328</v>
      </c>
      <c r="L696" s="18">
        <f t="shared" si="21"/>
        <v>10</v>
      </c>
      <c r="M696" s="20">
        <f>G696*INDEX(Employees!$E$2:$E$17,MATCH(B696,Employees!$A$2:$A$17,0))</f>
        <v>192</v>
      </c>
    </row>
    <row r="697" spans="1:13" ht="18" x14ac:dyDescent="0.2">
      <c r="A697" s="17">
        <v>1583</v>
      </c>
      <c r="B697" s="17">
        <v>18</v>
      </c>
      <c r="C697" s="17" t="s">
        <v>502</v>
      </c>
      <c r="D697" s="17" t="s">
        <v>791</v>
      </c>
      <c r="E697" s="17" t="s">
        <v>792</v>
      </c>
      <c r="F697" s="17">
        <v>356</v>
      </c>
      <c r="G697" s="17">
        <v>6.6</v>
      </c>
      <c r="H697" s="17" t="str">
        <f>INDEX(Employees!$B$2:$B$17,MATCH(B697,Employees!$A$2:$A$17,0))</f>
        <v>Casey</v>
      </c>
      <c r="I697" s="17" t="str">
        <f>INDEX(Employees!$C$2:$C$17,MATCH(B697,Employees!$A$2:$A$17,0))</f>
        <v>Picker</v>
      </c>
      <c r="J697" s="25">
        <f t="shared" si="20"/>
        <v>53.939393939393945</v>
      </c>
      <c r="K697" s="19">
        <f>IF(J697=0,0,J697/INDEX('Labor Dashboard'!$C$36:$C$39,MATCH(E697,'Labor Dashboard'!$B$36:$B$39,0)))</f>
        <v>0.98071625344352631</v>
      </c>
      <c r="L697" s="18">
        <f t="shared" si="21"/>
        <v>10</v>
      </c>
      <c r="M697" s="20">
        <f>G697*INDEX(Employees!$E$2:$E$17,MATCH(B697,Employees!$A$2:$A$17,0))</f>
        <v>112.19999999999999</v>
      </c>
    </row>
    <row r="698" spans="1:13" ht="18" x14ac:dyDescent="0.2">
      <c r="A698" s="17">
        <v>1584</v>
      </c>
      <c r="B698" s="17">
        <v>20</v>
      </c>
      <c r="C698" s="17" t="s">
        <v>502</v>
      </c>
      <c r="D698" s="17" t="s">
        <v>793</v>
      </c>
      <c r="E698" s="17" t="s">
        <v>792</v>
      </c>
      <c r="F698" s="17">
        <v>425</v>
      </c>
      <c r="G698" s="17">
        <v>8.5</v>
      </c>
      <c r="H698" s="17" t="str">
        <f>INDEX(Employees!$B$2:$B$17,MATCH(B698,Employees!$A$2:$A$17,0))</f>
        <v>Taylor</v>
      </c>
      <c r="I698" s="17" t="str">
        <f>INDEX(Employees!$C$2:$C$17,MATCH(B698,Employees!$A$2:$A$17,0))</f>
        <v>Picker</v>
      </c>
      <c r="J698" s="25">
        <f t="shared" si="20"/>
        <v>50</v>
      </c>
      <c r="K698" s="19">
        <f>IF(J698=0,0,J698/INDEX('Labor Dashboard'!$C$36:$C$39,MATCH(E698,'Labor Dashboard'!$B$36:$B$39,0)))</f>
        <v>0.90909090909090906</v>
      </c>
      <c r="L698" s="18">
        <f t="shared" si="21"/>
        <v>10</v>
      </c>
      <c r="M698" s="20">
        <f>G698*INDEX(Employees!$E$2:$E$17,MATCH(B698,Employees!$A$2:$A$17,0))</f>
        <v>144.5</v>
      </c>
    </row>
    <row r="699" spans="1:13" ht="18" x14ac:dyDescent="0.2">
      <c r="A699" s="17">
        <v>1585</v>
      </c>
      <c r="B699" s="17">
        <v>21</v>
      </c>
      <c r="C699" s="17" t="s">
        <v>502</v>
      </c>
      <c r="D699" s="17" t="s">
        <v>791</v>
      </c>
      <c r="E699" s="17" t="s">
        <v>794</v>
      </c>
      <c r="F699" s="17">
        <v>248</v>
      </c>
      <c r="G699" s="17">
        <v>6.5</v>
      </c>
      <c r="H699" s="17" t="str">
        <f>INDEX(Employees!$B$2:$B$17,MATCH(B699,Employees!$A$2:$A$17,0))</f>
        <v>Riley</v>
      </c>
      <c r="I699" s="17" t="str">
        <f>INDEX(Employees!$C$2:$C$17,MATCH(B699,Employees!$A$2:$A$17,0))</f>
        <v>Packer</v>
      </c>
      <c r="J699" s="25">
        <f t="shared" si="20"/>
        <v>38.153846153846153</v>
      </c>
      <c r="K699" s="19">
        <f>IF(J699=0,0,J699/INDEX('Labor Dashboard'!$C$36:$C$39,MATCH(E699,'Labor Dashboard'!$B$36:$B$39,0)))</f>
        <v>0.84786324786324785</v>
      </c>
      <c r="L699" s="18">
        <f t="shared" si="21"/>
        <v>10</v>
      </c>
      <c r="M699" s="20">
        <f>G699*INDEX(Employees!$E$2:$E$17,MATCH(B699,Employees!$A$2:$A$17,0))</f>
        <v>110.5</v>
      </c>
    </row>
    <row r="700" spans="1:13" ht="18" x14ac:dyDescent="0.2">
      <c r="A700" s="17">
        <v>1586</v>
      </c>
      <c r="B700" s="17">
        <v>22</v>
      </c>
      <c r="C700" s="17" t="s">
        <v>502</v>
      </c>
      <c r="D700" s="17" t="s">
        <v>793</v>
      </c>
      <c r="E700" s="17" t="s">
        <v>794</v>
      </c>
      <c r="F700" s="17">
        <v>406</v>
      </c>
      <c r="G700" s="17">
        <v>8.1999999999999993</v>
      </c>
      <c r="H700" s="17" t="str">
        <f>INDEX(Employees!$B$2:$B$17,MATCH(B700,Employees!$A$2:$A$17,0))</f>
        <v>Avery</v>
      </c>
      <c r="I700" s="17" t="str">
        <f>INDEX(Employees!$C$2:$C$17,MATCH(B700,Employees!$A$2:$A$17,0))</f>
        <v>Packer</v>
      </c>
      <c r="J700" s="25">
        <f t="shared" si="20"/>
        <v>49.512195121951223</v>
      </c>
      <c r="K700" s="19">
        <f>IF(J700=0,0,J700/INDEX('Labor Dashboard'!$C$36:$C$39,MATCH(E700,'Labor Dashboard'!$B$36:$B$39,0)))</f>
        <v>1.1002710027100271</v>
      </c>
      <c r="L700" s="18">
        <f t="shared" si="21"/>
        <v>10</v>
      </c>
      <c r="M700" s="20">
        <f>G700*INDEX(Employees!$E$2:$E$17,MATCH(B700,Employees!$A$2:$A$17,0))</f>
        <v>139.39999999999998</v>
      </c>
    </row>
    <row r="701" spans="1:13" ht="18" x14ac:dyDescent="0.2">
      <c r="A701" s="17">
        <v>1587</v>
      </c>
      <c r="B701" s="17">
        <v>23</v>
      </c>
      <c r="C701" s="17" t="s">
        <v>502</v>
      </c>
      <c r="D701" s="17" t="s">
        <v>793</v>
      </c>
      <c r="E701" s="17" t="s">
        <v>794</v>
      </c>
      <c r="F701" s="17">
        <v>330</v>
      </c>
      <c r="G701" s="17">
        <v>7.1</v>
      </c>
      <c r="H701" s="17" t="str">
        <f>INDEX(Employees!$B$2:$B$17,MATCH(B701,Employees!$A$2:$A$17,0))</f>
        <v>Cameron</v>
      </c>
      <c r="I701" s="17" t="str">
        <f>INDEX(Employees!$C$2:$C$17,MATCH(B701,Employees!$A$2:$A$17,0))</f>
        <v>Packer</v>
      </c>
      <c r="J701" s="25">
        <f t="shared" si="20"/>
        <v>46.478873239436624</v>
      </c>
      <c r="K701" s="19">
        <f>IF(J701=0,0,J701/INDEX('Labor Dashboard'!$C$36:$C$39,MATCH(E701,'Labor Dashboard'!$B$36:$B$39,0)))</f>
        <v>1.0328638497652582</v>
      </c>
      <c r="L701" s="18">
        <f t="shared" si="21"/>
        <v>10</v>
      </c>
      <c r="M701" s="20">
        <f>G701*INDEX(Employees!$E$2:$E$17,MATCH(B701,Employees!$A$2:$A$17,0))</f>
        <v>120.69999999999999</v>
      </c>
    </row>
    <row r="702" spans="1:13" ht="18" x14ac:dyDescent="0.2">
      <c r="A702" s="17">
        <v>1588</v>
      </c>
      <c r="B702" s="17">
        <v>24</v>
      </c>
      <c r="C702" s="17" t="s">
        <v>502</v>
      </c>
      <c r="D702" s="17" t="s">
        <v>793</v>
      </c>
      <c r="E702" s="17" t="s">
        <v>792</v>
      </c>
      <c r="F702" s="17">
        <v>337</v>
      </c>
      <c r="G702" s="17">
        <v>6.5</v>
      </c>
      <c r="H702" s="17" t="str">
        <f>INDEX(Employees!$B$2:$B$17,MATCH(B702,Employees!$A$2:$A$17,0))</f>
        <v>Dakota</v>
      </c>
      <c r="I702" s="17" t="str">
        <f>INDEX(Employees!$C$2:$C$17,MATCH(B702,Employees!$A$2:$A$17,0))</f>
        <v>Forklift Operator</v>
      </c>
      <c r="J702" s="25">
        <f t="shared" si="20"/>
        <v>51.846153846153847</v>
      </c>
      <c r="K702" s="19">
        <f>IF(J702=0,0,J702/INDEX('Labor Dashboard'!$C$36:$C$39,MATCH(E702,'Labor Dashboard'!$B$36:$B$39,0)))</f>
        <v>0.94265734265734269</v>
      </c>
      <c r="L702" s="18">
        <f t="shared" si="21"/>
        <v>10</v>
      </c>
      <c r="M702" s="20">
        <f>G702*INDEX(Employees!$E$2:$E$17,MATCH(B702,Employees!$A$2:$A$17,0))</f>
        <v>126.75</v>
      </c>
    </row>
    <row r="703" spans="1:13" ht="18" x14ac:dyDescent="0.2">
      <c r="A703" s="17">
        <v>1589</v>
      </c>
      <c r="B703" s="17">
        <v>25</v>
      </c>
      <c r="C703" s="17" t="s">
        <v>502</v>
      </c>
      <c r="D703" s="17" t="s">
        <v>793</v>
      </c>
      <c r="E703" s="17" t="s">
        <v>795</v>
      </c>
      <c r="F703" s="17">
        <v>205</v>
      </c>
      <c r="G703" s="17">
        <v>7.3</v>
      </c>
      <c r="H703" s="17" t="str">
        <f>INDEX(Employees!$B$2:$B$17,MATCH(B703,Employees!$A$2:$A$17,0))</f>
        <v>Hayden</v>
      </c>
      <c r="I703" s="17" t="str">
        <f>INDEX(Employees!$C$2:$C$17,MATCH(B703,Employees!$A$2:$A$17,0))</f>
        <v>Forklift Operator</v>
      </c>
      <c r="J703" s="25">
        <f t="shared" si="20"/>
        <v>28.082191780821919</v>
      </c>
      <c r="K703" s="19">
        <f>IF(J703=0,0,J703/INDEX('Labor Dashboard'!$C$36:$C$39,MATCH(E703,'Labor Dashboard'!$B$36:$B$39,0)))</f>
        <v>0.9360730593607306</v>
      </c>
      <c r="L703" s="18">
        <f t="shared" si="21"/>
        <v>10</v>
      </c>
      <c r="M703" s="20">
        <f>G703*INDEX(Employees!$E$2:$E$17,MATCH(B703,Employees!$A$2:$A$17,0))</f>
        <v>142.35</v>
      </c>
    </row>
    <row r="704" spans="1:13" ht="18" x14ac:dyDescent="0.2">
      <c r="A704" s="17">
        <v>1590</v>
      </c>
      <c r="B704" s="17">
        <v>26</v>
      </c>
      <c r="C704" s="17" t="s">
        <v>502</v>
      </c>
      <c r="D704" s="17" t="s">
        <v>793</v>
      </c>
      <c r="E704" s="17" t="s">
        <v>795</v>
      </c>
      <c r="F704" s="17">
        <v>172</v>
      </c>
      <c r="G704" s="17">
        <v>7</v>
      </c>
      <c r="H704" s="17" t="str">
        <f>INDEX(Employees!$B$2:$B$17,MATCH(B704,Employees!$A$2:$A$17,0))</f>
        <v>Reese</v>
      </c>
      <c r="I704" s="17" t="str">
        <f>INDEX(Employees!$C$2:$C$17,MATCH(B704,Employees!$A$2:$A$17,0))</f>
        <v>Receiving Clerk</v>
      </c>
      <c r="J704" s="25">
        <f t="shared" si="20"/>
        <v>24.571428571428573</v>
      </c>
      <c r="K704" s="19">
        <f>IF(J704=0,0,J704/INDEX('Labor Dashboard'!$C$36:$C$39,MATCH(E704,'Labor Dashboard'!$B$36:$B$39,0)))</f>
        <v>0.81904761904761914</v>
      </c>
      <c r="L704" s="18">
        <f t="shared" si="21"/>
        <v>10</v>
      </c>
      <c r="M704" s="20">
        <f>G704*INDEX(Employees!$E$2:$E$17,MATCH(B704,Employees!$A$2:$A$17,0))</f>
        <v>126</v>
      </c>
    </row>
    <row r="705" spans="1:13" ht="18" x14ac:dyDescent="0.2">
      <c r="A705" s="17">
        <v>1591</v>
      </c>
      <c r="B705" s="17">
        <v>27</v>
      </c>
      <c r="C705" s="17" t="s">
        <v>502</v>
      </c>
      <c r="D705" s="17" t="s">
        <v>793</v>
      </c>
      <c r="E705" s="17" t="s">
        <v>795</v>
      </c>
      <c r="F705" s="17">
        <v>201</v>
      </c>
      <c r="G705" s="17">
        <v>7.9</v>
      </c>
      <c r="H705" s="17" t="str">
        <f>INDEX(Employees!$B$2:$B$17,MATCH(B705,Employees!$A$2:$A$17,0))</f>
        <v>Skyler</v>
      </c>
      <c r="I705" s="17" t="str">
        <f>INDEX(Employees!$C$2:$C$17,MATCH(B705,Employees!$A$2:$A$17,0))</f>
        <v>Receiving Clerk</v>
      </c>
      <c r="J705" s="25">
        <f t="shared" si="20"/>
        <v>25.443037974683545</v>
      </c>
      <c r="K705" s="19">
        <f>IF(J705=0,0,J705/INDEX('Labor Dashboard'!$C$36:$C$39,MATCH(E705,'Labor Dashboard'!$B$36:$B$39,0)))</f>
        <v>0.84810126582278478</v>
      </c>
      <c r="L705" s="18">
        <f t="shared" si="21"/>
        <v>10</v>
      </c>
      <c r="M705" s="20">
        <f>G705*INDEX(Employees!$E$2:$E$17,MATCH(B705,Employees!$A$2:$A$17,0))</f>
        <v>142.20000000000002</v>
      </c>
    </row>
    <row r="706" spans="1:13" ht="18" x14ac:dyDescent="0.2">
      <c r="A706" s="17">
        <v>1592</v>
      </c>
      <c r="B706" s="17">
        <v>28</v>
      </c>
      <c r="C706" s="17" t="s">
        <v>502</v>
      </c>
      <c r="D706" s="17" t="s">
        <v>793</v>
      </c>
      <c r="E706" s="17" t="s">
        <v>796</v>
      </c>
      <c r="F706" s="17">
        <v>174</v>
      </c>
      <c r="G706" s="17">
        <v>7.3</v>
      </c>
      <c r="H706" s="17" t="str">
        <f>INDEX(Employees!$B$2:$B$17,MATCH(B706,Employees!$A$2:$A$17,0))</f>
        <v>Peyton</v>
      </c>
      <c r="I706" s="17" t="str">
        <f>INDEX(Employees!$C$2:$C$17,MATCH(B706,Employees!$A$2:$A$17,0))</f>
        <v>Cycle Counter</v>
      </c>
      <c r="J706" s="25">
        <f t="shared" ref="J706:J769" si="22">IF(G706=0,0,F706/G706)</f>
        <v>23.835616438356166</v>
      </c>
      <c r="K706" s="19">
        <f>IF(J706=0,0,J706/INDEX('Labor Dashboard'!$C$36:$C$39,MATCH(E706,'Labor Dashboard'!$B$36:$B$39,0)))</f>
        <v>0.95342465753424666</v>
      </c>
      <c r="L706" s="18">
        <f t="shared" ref="L706:L769" si="23">INT((DATEVALUE(C706)-DATE(2026,4,6))/7)</f>
        <v>10</v>
      </c>
      <c r="M706" s="20">
        <f>G706*INDEX(Employees!$E$2:$E$17,MATCH(B706,Employees!$A$2:$A$17,0))</f>
        <v>131.4</v>
      </c>
    </row>
    <row r="707" spans="1:13" ht="18" x14ac:dyDescent="0.2">
      <c r="A707" s="17">
        <v>1593</v>
      </c>
      <c r="B707" s="17">
        <v>30</v>
      </c>
      <c r="C707" s="17" t="s">
        <v>502</v>
      </c>
      <c r="D707" s="17" t="s">
        <v>791</v>
      </c>
      <c r="E707" s="17" t="s">
        <v>796</v>
      </c>
      <c r="F707" s="17">
        <v>161</v>
      </c>
      <c r="G707" s="17">
        <v>8.3000000000000007</v>
      </c>
      <c r="H707" s="17" t="str">
        <f>INDEX(Employees!$B$2:$B$17,MATCH(B707,Employees!$A$2:$A$17,0))</f>
        <v>Emerson</v>
      </c>
      <c r="I707" s="17" t="str">
        <f>INDEX(Employees!$C$2:$C$17,MATCH(B707,Employees!$A$2:$A$17,0))</f>
        <v>Shift Supervisor</v>
      </c>
      <c r="J707" s="25">
        <f t="shared" si="22"/>
        <v>19.397590361445783</v>
      </c>
      <c r="K707" s="19">
        <f>IF(J707=0,0,J707/INDEX('Labor Dashboard'!$C$36:$C$39,MATCH(E707,'Labor Dashboard'!$B$36:$B$39,0)))</f>
        <v>0.77590361445783129</v>
      </c>
      <c r="L707" s="18">
        <f t="shared" si="23"/>
        <v>10</v>
      </c>
      <c r="M707" s="20">
        <f>G707*INDEX(Employees!$E$2:$E$17,MATCH(B707,Employees!$A$2:$A$17,0))</f>
        <v>199.20000000000002</v>
      </c>
    </row>
    <row r="708" spans="1:13" ht="18" x14ac:dyDescent="0.2">
      <c r="A708" s="17">
        <v>1594</v>
      </c>
      <c r="B708" s="17">
        <v>31</v>
      </c>
      <c r="C708" s="17" t="s">
        <v>502</v>
      </c>
      <c r="D708" s="17" t="s">
        <v>793</v>
      </c>
      <c r="E708" s="17" t="s">
        <v>792</v>
      </c>
      <c r="F708" s="17">
        <v>464</v>
      </c>
      <c r="G708" s="17">
        <v>7.9</v>
      </c>
      <c r="H708" s="17" t="str">
        <f>INDEX(Employees!$B$2:$B$17,MATCH(B708,Employees!$A$2:$A$17,0))</f>
        <v>Finley</v>
      </c>
      <c r="I708" s="17" t="str">
        <f>INDEX(Employees!$C$2:$C$17,MATCH(B708,Employees!$A$2:$A$17,0))</f>
        <v>Shift Supervisor</v>
      </c>
      <c r="J708" s="25">
        <f t="shared" si="22"/>
        <v>58.734177215189874</v>
      </c>
      <c r="K708" s="19">
        <f>IF(J708=0,0,J708/INDEX('Labor Dashboard'!$C$36:$C$39,MATCH(E708,'Labor Dashboard'!$B$36:$B$39,0)))</f>
        <v>1.0678941311852703</v>
      </c>
      <c r="L708" s="18">
        <f t="shared" si="23"/>
        <v>10</v>
      </c>
      <c r="M708" s="20">
        <f>G708*INDEX(Employees!$E$2:$E$17,MATCH(B708,Employees!$A$2:$A$17,0))</f>
        <v>189.60000000000002</v>
      </c>
    </row>
    <row r="709" spans="1:13" ht="18" x14ac:dyDescent="0.2">
      <c r="A709" s="17">
        <v>1595</v>
      </c>
      <c r="B709" s="17">
        <v>17</v>
      </c>
      <c r="C709" s="17" t="s">
        <v>553</v>
      </c>
      <c r="D709" s="17" t="s">
        <v>791</v>
      </c>
      <c r="E709" s="17" t="s">
        <v>792</v>
      </c>
      <c r="F709" s="17">
        <v>366</v>
      </c>
      <c r="G709" s="17">
        <v>7.4</v>
      </c>
      <c r="H709" s="17" t="str">
        <f>INDEX(Employees!$B$2:$B$17,MATCH(B709,Employees!$A$2:$A$17,0))</f>
        <v>Jordan</v>
      </c>
      <c r="I709" s="17" t="str">
        <f>INDEX(Employees!$C$2:$C$17,MATCH(B709,Employees!$A$2:$A$17,0))</f>
        <v>Picker</v>
      </c>
      <c r="J709" s="25">
        <f t="shared" si="22"/>
        <v>49.45945945945946</v>
      </c>
      <c r="K709" s="19">
        <f>IF(J709=0,0,J709/INDEX('Labor Dashboard'!$C$36:$C$39,MATCH(E709,'Labor Dashboard'!$B$36:$B$39,0)))</f>
        <v>0.89926289926289926</v>
      </c>
      <c r="L709" s="18">
        <f t="shared" si="23"/>
        <v>10</v>
      </c>
      <c r="M709" s="20">
        <f>G709*INDEX(Employees!$E$2:$E$17,MATCH(B709,Employees!$A$2:$A$17,0))</f>
        <v>125.80000000000001</v>
      </c>
    </row>
    <row r="710" spans="1:13" ht="18" x14ac:dyDescent="0.2">
      <c r="A710" s="17">
        <v>1596</v>
      </c>
      <c r="B710" s="17">
        <v>18</v>
      </c>
      <c r="C710" s="17" t="s">
        <v>553</v>
      </c>
      <c r="D710" s="17" t="s">
        <v>793</v>
      </c>
      <c r="E710" s="17" t="s">
        <v>792</v>
      </c>
      <c r="F710" s="17">
        <v>474</v>
      </c>
      <c r="G710" s="17">
        <v>7.4</v>
      </c>
      <c r="H710" s="17" t="str">
        <f>INDEX(Employees!$B$2:$B$17,MATCH(B710,Employees!$A$2:$A$17,0))</f>
        <v>Casey</v>
      </c>
      <c r="I710" s="17" t="str">
        <f>INDEX(Employees!$C$2:$C$17,MATCH(B710,Employees!$A$2:$A$17,0))</f>
        <v>Picker</v>
      </c>
      <c r="J710" s="25">
        <f t="shared" si="22"/>
        <v>64.054054054054049</v>
      </c>
      <c r="K710" s="19">
        <f>IF(J710=0,0,J710/INDEX('Labor Dashboard'!$C$36:$C$39,MATCH(E710,'Labor Dashboard'!$B$36:$B$39,0)))</f>
        <v>1.1646191646191646</v>
      </c>
      <c r="L710" s="18">
        <f t="shared" si="23"/>
        <v>10</v>
      </c>
      <c r="M710" s="20">
        <f>G710*INDEX(Employees!$E$2:$E$17,MATCH(B710,Employees!$A$2:$A$17,0))</f>
        <v>125.80000000000001</v>
      </c>
    </row>
    <row r="711" spans="1:13" ht="18" x14ac:dyDescent="0.2">
      <c r="A711" s="17">
        <v>1597</v>
      </c>
      <c r="B711" s="17">
        <v>19</v>
      </c>
      <c r="C711" s="17" t="s">
        <v>553</v>
      </c>
      <c r="D711" s="17" t="s">
        <v>791</v>
      </c>
      <c r="E711" s="17" t="s">
        <v>792</v>
      </c>
      <c r="F711" s="17">
        <v>405</v>
      </c>
      <c r="G711" s="17">
        <v>7.7</v>
      </c>
      <c r="H711" s="17" t="str">
        <f>INDEX(Employees!$B$2:$B$17,MATCH(B711,Employees!$A$2:$A$17,0))</f>
        <v>Morgan</v>
      </c>
      <c r="I711" s="17" t="str">
        <f>INDEX(Employees!$C$2:$C$17,MATCH(B711,Employees!$A$2:$A$17,0))</f>
        <v>Picker</v>
      </c>
      <c r="J711" s="25">
        <f t="shared" si="22"/>
        <v>52.597402597402599</v>
      </c>
      <c r="K711" s="19">
        <f>IF(J711=0,0,J711/INDEX('Labor Dashboard'!$C$36:$C$39,MATCH(E711,'Labor Dashboard'!$B$36:$B$39,0)))</f>
        <v>0.95631641086186547</v>
      </c>
      <c r="L711" s="18">
        <f t="shared" si="23"/>
        <v>10</v>
      </c>
      <c r="M711" s="20">
        <f>G711*INDEX(Employees!$E$2:$E$17,MATCH(B711,Employees!$A$2:$A$17,0))</f>
        <v>130.9</v>
      </c>
    </row>
    <row r="712" spans="1:13" ht="18" x14ac:dyDescent="0.2">
      <c r="A712" s="17">
        <v>1598</v>
      </c>
      <c r="B712" s="17">
        <v>20</v>
      </c>
      <c r="C712" s="17" t="s">
        <v>553</v>
      </c>
      <c r="D712" s="17" t="s">
        <v>791</v>
      </c>
      <c r="E712" s="17" t="s">
        <v>792</v>
      </c>
      <c r="F712" s="17">
        <v>404</v>
      </c>
      <c r="G712" s="17">
        <v>7.9</v>
      </c>
      <c r="H712" s="17" t="str">
        <f>INDEX(Employees!$B$2:$B$17,MATCH(B712,Employees!$A$2:$A$17,0))</f>
        <v>Taylor</v>
      </c>
      <c r="I712" s="17" t="str">
        <f>INDEX(Employees!$C$2:$C$17,MATCH(B712,Employees!$A$2:$A$17,0))</f>
        <v>Picker</v>
      </c>
      <c r="J712" s="25">
        <f t="shared" si="22"/>
        <v>51.139240506329109</v>
      </c>
      <c r="K712" s="19">
        <f>IF(J712=0,0,J712/INDEX('Labor Dashboard'!$C$36:$C$39,MATCH(E712,'Labor Dashboard'!$B$36:$B$39,0)))</f>
        <v>0.9298043728423474</v>
      </c>
      <c r="L712" s="18">
        <f t="shared" si="23"/>
        <v>10</v>
      </c>
      <c r="M712" s="20">
        <f>G712*INDEX(Employees!$E$2:$E$17,MATCH(B712,Employees!$A$2:$A$17,0))</f>
        <v>134.30000000000001</v>
      </c>
    </row>
    <row r="713" spans="1:13" ht="18" x14ac:dyDescent="0.2">
      <c r="A713" s="17">
        <v>1599</v>
      </c>
      <c r="B713" s="17">
        <v>21</v>
      </c>
      <c r="C713" s="17" t="s">
        <v>553</v>
      </c>
      <c r="D713" s="17" t="s">
        <v>793</v>
      </c>
      <c r="E713" s="17" t="s">
        <v>794</v>
      </c>
      <c r="F713" s="17">
        <v>305</v>
      </c>
      <c r="G713" s="17">
        <v>8.1999999999999993</v>
      </c>
      <c r="H713" s="17" t="str">
        <f>INDEX(Employees!$B$2:$B$17,MATCH(B713,Employees!$A$2:$A$17,0))</f>
        <v>Riley</v>
      </c>
      <c r="I713" s="17" t="str">
        <f>INDEX(Employees!$C$2:$C$17,MATCH(B713,Employees!$A$2:$A$17,0))</f>
        <v>Packer</v>
      </c>
      <c r="J713" s="25">
        <f t="shared" si="22"/>
        <v>37.195121951219512</v>
      </c>
      <c r="K713" s="19">
        <f>IF(J713=0,0,J713/INDEX('Labor Dashboard'!$C$36:$C$39,MATCH(E713,'Labor Dashboard'!$B$36:$B$39,0)))</f>
        <v>0.82655826558265588</v>
      </c>
      <c r="L713" s="18">
        <f t="shared" si="23"/>
        <v>10</v>
      </c>
      <c r="M713" s="20">
        <f>G713*INDEX(Employees!$E$2:$E$17,MATCH(B713,Employees!$A$2:$A$17,0))</f>
        <v>139.39999999999998</v>
      </c>
    </row>
    <row r="714" spans="1:13" ht="18" x14ac:dyDescent="0.2">
      <c r="A714" s="17">
        <v>1600</v>
      </c>
      <c r="B714" s="17">
        <v>22</v>
      </c>
      <c r="C714" s="17" t="s">
        <v>553</v>
      </c>
      <c r="D714" s="17" t="s">
        <v>793</v>
      </c>
      <c r="E714" s="17" t="s">
        <v>794</v>
      </c>
      <c r="F714" s="17">
        <v>367</v>
      </c>
      <c r="G714" s="17">
        <v>7.2</v>
      </c>
      <c r="H714" s="17" t="str">
        <f>INDEX(Employees!$B$2:$B$17,MATCH(B714,Employees!$A$2:$A$17,0))</f>
        <v>Avery</v>
      </c>
      <c r="I714" s="17" t="str">
        <f>INDEX(Employees!$C$2:$C$17,MATCH(B714,Employees!$A$2:$A$17,0))</f>
        <v>Packer</v>
      </c>
      <c r="J714" s="25">
        <f t="shared" si="22"/>
        <v>50.972222222222221</v>
      </c>
      <c r="K714" s="19">
        <f>IF(J714=0,0,J714/INDEX('Labor Dashboard'!$C$36:$C$39,MATCH(E714,'Labor Dashboard'!$B$36:$B$39,0)))</f>
        <v>1.132716049382716</v>
      </c>
      <c r="L714" s="18">
        <f t="shared" si="23"/>
        <v>10</v>
      </c>
      <c r="M714" s="20">
        <f>G714*INDEX(Employees!$E$2:$E$17,MATCH(B714,Employees!$A$2:$A$17,0))</f>
        <v>122.4</v>
      </c>
    </row>
    <row r="715" spans="1:13" ht="18" x14ac:dyDescent="0.2">
      <c r="A715" s="17">
        <v>1601</v>
      </c>
      <c r="B715" s="17">
        <v>23</v>
      </c>
      <c r="C715" s="17" t="s">
        <v>553</v>
      </c>
      <c r="D715" s="17" t="s">
        <v>793</v>
      </c>
      <c r="E715" s="17" t="s">
        <v>794</v>
      </c>
      <c r="F715" s="17">
        <v>401</v>
      </c>
      <c r="G715" s="17">
        <v>8.5</v>
      </c>
      <c r="H715" s="17" t="str">
        <f>INDEX(Employees!$B$2:$B$17,MATCH(B715,Employees!$A$2:$A$17,0))</f>
        <v>Cameron</v>
      </c>
      <c r="I715" s="17" t="str">
        <f>INDEX(Employees!$C$2:$C$17,MATCH(B715,Employees!$A$2:$A$17,0))</f>
        <v>Packer</v>
      </c>
      <c r="J715" s="25">
        <f t="shared" si="22"/>
        <v>47.176470588235297</v>
      </c>
      <c r="K715" s="19">
        <f>IF(J715=0,0,J715/INDEX('Labor Dashboard'!$C$36:$C$39,MATCH(E715,'Labor Dashboard'!$B$36:$B$39,0)))</f>
        <v>1.0483660130718955</v>
      </c>
      <c r="L715" s="18">
        <f t="shared" si="23"/>
        <v>10</v>
      </c>
      <c r="M715" s="20">
        <f>G715*INDEX(Employees!$E$2:$E$17,MATCH(B715,Employees!$A$2:$A$17,0))</f>
        <v>144.5</v>
      </c>
    </row>
    <row r="716" spans="1:13" ht="18" x14ac:dyDescent="0.2">
      <c r="A716" s="17">
        <v>1602</v>
      </c>
      <c r="B716" s="17">
        <v>24</v>
      </c>
      <c r="C716" s="17" t="s">
        <v>553</v>
      </c>
      <c r="D716" s="17" t="s">
        <v>793</v>
      </c>
      <c r="E716" s="17" t="s">
        <v>795</v>
      </c>
      <c r="F716" s="17">
        <v>185</v>
      </c>
      <c r="G716" s="17">
        <v>6.8</v>
      </c>
      <c r="H716" s="17" t="str">
        <f>INDEX(Employees!$B$2:$B$17,MATCH(B716,Employees!$A$2:$A$17,0))</f>
        <v>Dakota</v>
      </c>
      <c r="I716" s="17" t="str">
        <f>INDEX(Employees!$C$2:$C$17,MATCH(B716,Employees!$A$2:$A$17,0))</f>
        <v>Forklift Operator</v>
      </c>
      <c r="J716" s="25">
        <f t="shared" si="22"/>
        <v>27.205882352941178</v>
      </c>
      <c r="K716" s="19">
        <f>IF(J716=0,0,J716/INDEX('Labor Dashboard'!$C$36:$C$39,MATCH(E716,'Labor Dashboard'!$B$36:$B$39,0)))</f>
        <v>0.90686274509803921</v>
      </c>
      <c r="L716" s="18">
        <f t="shared" si="23"/>
        <v>10</v>
      </c>
      <c r="M716" s="20">
        <f>G716*INDEX(Employees!$E$2:$E$17,MATCH(B716,Employees!$A$2:$A$17,0))</f>
        <v>132.6</v>
      </c>
    </row>
    <row r="717" spans="1:13" ht="18" x14ac:dyDescent="0.2">
      <c r="A717" s="17">
        <v>1603</v>
      </c>
      <c r="B717" s="17">
        <v>25</v>
      </c>
      <c r="C717" s="17" t="s">
        <v>553</v>
      </c>
      <c r="D717" s="17" t="s">
        <v>791</v>
      </c>
      <c r="E717" s="17" t="s">
        <v>792</v>
      </c>
      <c r="F717" s="17">
        <v>433</v>
      </c>
      <c r="G717" s="17">
        <v>7.4</v>
      </c>
      <c r="H717" s="17" t="str">
        <f>INDEX(Employees!$B$2:$B$17,MATCH(B717,Employees!$A$2:$A$17,0))</f>
        <v>Hayden</v>
      </c>
      <c r="I717" s="17" t="str">
        <f>INDEX(Employees!$C$2:$C$17,MATCH(B717,Employees!$A$2:$A$17,0))</f>
        <v>Forklift Operator</v>
      </c>
      <c r="J717" s="25">
        <f t="shared" si="22"/>
        <v>58.513513513513509</v>
      </c>
      <c r="K717" s="19">
        <f>IF(J717=0,0,J717/INDEX('Labor Dashboard'!$C$36:$C$39,MATCH(E717,'Labor Dashboard'!$B$36:$B$39,0)))</f>
        <v>1.0638820638820639</v>
      </c>
      <c r="L717" s="18">
        <f t="shared" si="23"/>
        <v>10</v>
      </c>
      <c r="M717" s="20">
        <f>G717*INDEX(Employees!$E$2:$E$17,MATCH(B717,Employees!$A$2:$A$17,0))</f>
        <v>144.30000000000001</v>
      </c>
    </row>
    <row r="718" spans="1:13" ht="18" x14ac:dyDescent="0.2">
      <c r="A718" s="17">
        <v>1604</v>
      </c>
      <c r="B718" s="17">
        <v>26</v>
      </c>
      <c r="C718" s="17" t="s">
        <v>553</v>
      </c>
      <c r="D718" s="17" t="s">
        <v>791</v>
      </c>
      <c r="E718" s="17" t="s">
        <v>795</v>
      </c>
      <c r="F718" s="17">
        <v>222</v>
      </c>
      <c r="G718" s="17">
        <v>8</v>
      </c>
      <c r="H718" s="17" t="str">
        <f>INDEX(Employees!$B$2:$B$17,MATCH(B718,Employees!$A$2:$A$17,0))</f>
        <v>Reese</v>
      </c>
      <c r="I718" s="17" t="str">
        <f>INDEX(Employees!$C$2:$C$17,MATCH(B718,Employees!$A$2:$A$17,0))</f>
        <v>Receiving Clerk</v>
      </c>
      <c r="J718" s="25">
        <f t="shared" si="22"/>
        <v>27.75</v>
      </c>
      <c r="K718" s="19">
        <f>IF(J718=0,0,J718/INDEX('Labor Dashboard'!$C$36:$C$39,MATCH(E718,'Labor Dashboard'!$B$36:$B$39,0)))</f>
        <v>0.92500000000000004</v>
      </c>
      <c r="L718" s="18">
        <f t="shared" si="23"/>
        <v>10</v>
      </c>
      <c r="M718" s="20">
        <f>G718*INDEX(Employees!$E$2:$E$17,MATCH(B718,Employees!$A$2:$A$17,0))</f>
        <v>144</v>
      </c>
    </row>
    <row r="719" spans="1:13" ht="18" x14ac:dyDescent="0.2">
      <c r="A719" s="17">
        <v>1605</v>
      </c>
      <c r="B719" s="17">
        <v>27</v>
      </c>
      <c r="C719" s="17" t="s">
        <v>553</v>
      </c>
      <c r="D719" s="17" t="s">
        <v>791</v>
      </c>
      <c r="E719" s="17" t="s">
        <v>795</v>
      </c>
      <c r="F719" s="17">
        <v>208</v>
      </c>
      <c r="G719" s="17">
        <v>7.8</v>
      </c>
      <c r="H719" s="17" t="str">
        <f>INDEX(Employees!$B$2:$B$17,MATCH(B719,Employees!$A$2:$A$17,0))</f>
        <v>Skyler</v>
      </c>
      <c r="I719" s="17" t="str">
        <f>INDEX(Employees!$C$2:$C$17,MATCH(B719,Employees!$A$2:$A$17,0))</f>
        <v>Receiving Clerk</v>
      </c>
      <c r="J719" s="25">
        <f t="shared" si="22"/>
        <v>26.666666666666668</v>
      </c>
      <c r="K719" s="19">
        <f>IF(J719=0,0,J719/INDEX('Labor Dashboard'!$C$36:$C$39,MATCH(E719,'Labor Dashboard'!$B$36:$B$39,0)))</f>
        <v>0.88888888888888895</v>
      </c>
      <c r="L719" s="18">
        <f t="shared" si="23"/>
        <v>10</v>
      </c>
      <c r="M719" s="20">
        <f>G719*INDEX(Employees!$E$2:$E$17,MATCH(B719,Employees!$A$2:$A$17,0))</f>
        <v>140.4</v>
      </c>
    </row>
    <row r="720" spans="1:13" ht="18" x14ac:dyDescent="0.2">
      <c r="A720" s="17">
        <v>1606</v>
      </c>
      <c r="B720" s="17">
        <v>28</v>
      </c>
      <c r="C720" s="17" t="s">
        <v>553</v>
      </c>
      <c r="D720" s="17" t="s">
        <v>793</v>
      </c>
      <c r="E720" s="17" t="s">
        <v>796</v>
      </c>
      <c r="F720" s="17">
        <v>164</v>
      </c>
      <c r="G720" s="17">
        <v>7.5</v>
      </c>
      <c r="H720" s="17" t="str">
        <f>INDEX(Employees!$B$2:$B$17,MATCH(B720,Employees!$A$2:$A$17,0))</f>
        <v>Peyton</v>
      </c>
      <c r="I720" s="17" t="str">
        <f>INDEX(Employees!$C$2:$C$17,MATCH(B720,Employees!$A$2:$A$17,0))</f>
        <v>Cycle Counter</v>
      </c>
      <c r="J720" s="25">
        <f t="shared" si="22"/>
        <v>21.866666666666667</v>
      </c>
      <c r="K720" s="19">
        <f>IF(J720=0,0,J720/INDEX('Labor Dashboard'!$C$36:$C$39,MATCH(E720,'Labor Dashboard'!$B$36:$B$39,0)))</f>
        <v>0.8746666666666667</v>
      </c>
      <c r="L720" s="18">
        <f t="shared" si="23"/>
        <v>10</v>
      </c>
      <c r="M720" s="20">
        <f>G720*INDEX(Employees!$E$2:$E$17,MATCH(B720,Employees!$A$2:$A$17,0))</f>
        <v>135</v>
      </c>
    </row>
    <row r="721" spans="1:13" ht="18" x14ac:dyDescent="0.2">
      <c r="A721" s="17">
        <v>1607</v>
      </c>
      <c r="B721" s="17">
        <v>30</v>
      </c>
      <c r="C721" s="17" t="s">
        <v>553</v>
      </c>
      <c r="D721" s="17" t="s">
        <v>791</v>
      </c>
      <c r="E721" s="17" t="s">
        <v>796</v>
      </c>
      <c r="F721" s="17">
        <v>149</v>
      </c>
      <c r="G721" s="17">
        <v>7.8</v>
      </c>
      <c r="H721" s="17" t="str">
        <f>INDEX(Employees!$B$2:$B$17,MATCH(B721,Employees!$A$2:$A$17,0))</f>
        <v>Emerson</v>
      </c>
      <c r="I721" s="17" t="str">
        <f>INDEX(Employees!$C$2:$C$17,MATCH(B721,Employees!$A$2:$A$17,0))</f>
        <v>Shift Supervisor</v>
      </c>
      <c r="J721" s="25">
        <f t="shared" si="22"/>
        <v>19.102564102564102</v>
      </c>
      <c r="K721" s="19">
        <f>IF(J721=0,0,J721/INDEX('Labor Dashboard'!$C$36:$C$39,MATCH(E721,'Labor Dashboard'!$B$36:$B$39,0)))</f>
        <v>0.76410256410256405</v>
      </c>
      <c r="L721" s="18">
        <f t="shared" si="23"/>
        <v>10</v>
      </c>
      <c r="M721" s="20">
        <f>G721*INDEX(Employees!$E$2:$E$17,MATCH(B721,Employees!$A$2:$A$17,0))</f>
        <v>187.2</v>
      </c>
    </row>
    <row r="722" spans="1:13" ht="18" x14ac:dyDescent="0.2">
      <c r="A722" s="17">
        <v>1608</v>
      </c>
      <c r="B722" s="17">
        <v>31</v>
      </c>
      <c r="C722" s="17" t="s">
        <v>553</v>
      </c>
      <c r="D722" s="17" t="s">
        <v>791</v>
      </c>
      <c r="E722" s="17" t="s">
        <v>795</v>
      </c>
      <c r="F722" s="17">
        <v>225</v>
      </c>
      <c r="G722" s="17">
        <v>6.8</v>
      </c>
      <c r="H722" s="17" t="str">
        <f>INDEX(Employees!$B$2:$B$17,MATCH(B722,Employees!$A$2:$A$17,0))</f>
        <v>Finley</v>
      </c>
      <c r="I722" s="17" t="str">
        <f>INDEX(Employees!$C$2:$C$17,MATCH(B722,Employees!$A$2:$A$17,0))</f>
        <v>Shift Supervisor</v>
      </c>
      <c r="J722" s="25">
        <f t="shared" si="22"/>
        <v>33.088235294117645</v>
      </c>
      <c r="K722" s="19">
        <f>IF(J722=0,0,J722/INDEX('Labor Dashboard'!$C$36:$C$39,MATCH(E722,'Labor Dashboard'!$B$36:$B$39,0)))</f>
        <v>1.1029411764705881</v>
      </c>
      <c r="L722" s="18">
        <f t="shared" si="23"/>
        <v>10</v>
      </c>
      <c r="M722" s="20">
        <f>G722*INDEX(Employees!$E$2:$E$17,MATCH(B722,Employees!$A$2:$A$17,0))</f>
        <v>163.19999999999999</v>
      </c>
    </row>
    <row r="723" spans="1:13" ht="18" x14ac:dyDescent="0.2">
      <c r="A723" s="17">
        <v>1609</v>
      </c>
      <c r="B723" s="17">
        <v>32</v>
      </c>
      <c r="C723" s="17" t="s">
        <v>553</v>
      </c>
      <c r="D723" s="17" t="s">
        <v>791</v>
      </c>
      <c r="E723" s="17" t="s">
        <v>794</v>
      </c>
      <c r="F723" s="17">
        <v>309</v>
      </c>
      <c r="G723" s="17">
        <v>8.1999999999999993</v>
      </c>
      <c r="H723" s="17" t="str">
        <f>INDEX(Employees!$B$2:$B$17,MATCH(B723,Employees!$A$2:$A$17,0))</f>
        <v>Sawyer</v>
      </c>
      <c r="I723" s="17" t="str">
        <f>INDEX(Employees!$C$2:$C$17,MATCH(B723,Employees!$A$2:$A$17,0))</f>
        <v>Shift Supervisor</v>
      </c>
      <c r="J723" s="25">
        <f t="shared" si="22"/>
        <v>37.682926829268297</v>
      </c>
      <c r="K723" s="19">
        <f>IF(J723=0,0,J723/INDEX('Labor Dashboard'!$C$36:$C$39,MATCH(E723,'Labor Dashboard'!$B$36:$B$39,0)))</f>
        <v>0.83739837398373995</v>
      </c>
      <c r="L723" s="18">
        <f t="shared" si="23"/>
        <v>10</v>
      </c>
      <c r="M723" s="20">
        <f>G723*INDEX(Employees!$E$2:$E$17,MATCH(B723,Employees!$A$2:$A$17,0))</f>
        <v>196.79999999999998</v>
      </c>
    </row>
    <row r="724" spans="1:13" ht="18" x14ac:dyDescent="0.2">
      <c r="A724" s="17">
        <v>1610</v>
      </c>
      <c r="B724" s="17">
        <v>17</v>
      </c>
      <c r="C724" s="17" t="s">
        <v>532</v>
      </c>
      <c r="D724" s="17" t="s">
        <v>793</v>
      </c>
      <c r="E724" s="17" t="s">
        <v>792</v>
      </c>
      <c r="F724" s="17">
        <v>360</v>
      </c>
      <c r="G724" s="17">
        <v>7.9</v>
      </c>
      <c r="H724" s="17" t="str">
        <f>INDEX(Employees!$B$2:$B$17,MATCH(B724,Employees!$A$2:$A$17,0))</f>
        <v>Jordan</v>
      </c>
      <c r="I724" s="17" t="str">
        <f>INDEX(Employees!$C$2:$C$17,MATCH(B724,Employees!$A$2:$A$17,0))</f>
        <v>Picker</v>
      </c>
      <c r="J724" s="25">
        <f t="shared" si="22"/>
        <v>45.569620253164558</v>
      </c>
      <c r="K724" s="19">
        <f>IF(J724=0,0,J724/INDEX('Labor Dashboard'!$C$36:$C$39,MATCH(E724,'Labor Dashboard'!$B$36:$B$39,0)))</f>
        <v>0.8285385500575374</v>
      </c>
      <c r="L724" s="18">
        <f t="shared" si="23"/>
        <v>10</v>
      </c>
      <c r="M724" s="20">
        <f>G724*INDEX(Employees!$E$2:$E$17,MATCH(B724,Employees!$A$2:$A$17,0))</f>
        <v>134.30000000000001</v>
      </c>
    </row>
    <row r="725" spans="1:13" ht="18" x14ac:dyDescent="0.2">
      <c r="A725" s="17">
        <v>1611</v>
      </c>
      <c r="B725" s="17">
        <v>18</v>
      </c>
      <c r="C725" s="17" t="s">
        <v>532</v>
      </c>
      <c r="D725" s="17" t="s">
        <v>791</v>
      </c>
      <c r="E725" s="17" t="s">
        <v>792</v>
      </c>
      <c r="F725" s="17">
        <v>445</v>
      </c>
      <c r="G725" s="17">
        <v>7.7</v>
      </c>
      <c r="H725" s="17" t="str">
        <f>INDEX(Employees!$B$2:$B$17,MATCH(B725,Employees!$A$2:$A$17,0))</f>
        <v>Casey</v>
      </c>
      <c r="I725" s="17" t="str">
        <f>INDEX(Employees!$C$2:$C$17,MATCH(B725,Employees!$A$2:$A$17,0))</f>
        <v>Picker</v>
      </c>
      <c r="J725" s="25">
        <f t="shared" si="22"/>
        <v>57.79220779220779</v>
      </c>
      <c r="K725" s="19">
        <f>IF(J725=0,0,J725/INDEX('Labor Dashboard'!$C$36:$C$39,MATCH(E725,'Labor Dashboard'!$B$36:$B$39,0)))</f>
        <v>1.050767414403778</v>
      </c>
      <c r="L725" s="18">
        <f t="shared" si="23"/>
        <v>10</v>
      </c>
      <c r="M725" s="20">
        <f>G725*INDEX(Employees!$E$2:$E$17,MATCH(B725,Employees!$A$2:$A$17,0))</f>
        <v>130.9</v>
      </c>
    </row>
    <row r="726" spans="1:13" ht="18" x14ac:dyDescent="0.2">
      <c r="A726" s="17">
        <v>1612</v>
      </c>
      <c r="B726" s="17">
        <v>19</v>
      </c>
      <c r="C726" s="17" t="s">
        <v>532</v>
      </c>
      <c r="D726" s="17" t="s">
        <v>791</v>
      </c>
      <c r="E726" s="17" t="s">
        <v>792</v>
      </c>
      <c r="F726" s="17">
        <v>355</v>
      </c>
      <c r="G726" s="17">
        <v>6.7</v>
      </c>
      <c r="H726" s="17" t="str">
        <f>INDEX(Employees!$B$2:$B$17,MATCH(B726,Employees!$A$2:$A$17,0))</f>
        <v>Morgan</v>
      </c>
      <c r="I726" s="17" t="str">
        <f>INDEX(Employees!$C$2:$C$17,MATCH(B726,Employees!$A$2:$A$17,0))</f>
        <v>Picker</v>
      </c>
      <c r="J726" s="25">
        <f t="shared" si="22"/>
        <v>52.985074626865668</v>
      </c>
      <c r="K726" s="19">
        <f>IF(J726=0,0,J726/INDEX('Labor Dashboard'!$C$36:$C$39,MATCH(E726,'Labor Dashboard'!$B$36:$B$39,0)))</f>
        <v>0.96336499321573943</v>
      </c>
      <c r="L726" s="18">
        <f t="shared" si="23"/>
        <v>10</v>
      </c>
      <c r="M726" s="20">
        <f>G726*INDEX(Employees!$E$2:$E$17,MATCH(B726,Employees!$A$2:$A$17,0))</f>
        <v>113.9</v>
      </c>
    </row>
    <row r="727" spans="1:13" ht="18" x14ac:dyDescent="0.2">
      <c r="A727" s="17">
        <v>1613</v>
      </c>
      <c r="B727" s="17">
        <v>20</v>
      </c>
      <c r="C727" s="17" t="s">
        <v>532</v>
      </c>
      <c r="D727" s="17" t="s">
        <v>793</v>
      </c>
      <c r="E727" s="17" t="s">
        <v>792</v>
      </c>
      <c r="F727" s="17">
        <v>380</v>
      </c>
      <c r="G727" s="17">
        <v>6.8</v>
      </c>
      <c r="H727" s="17" t="str">
        <f>INDEX(Employees!$B$2:$B$17,MATCH(B727,Employees!$A$2:$A$17,0))</f>
        <v>Taylor</v>
      </c>
      <c r="I727" s="17" t="str">
        <f>INDEX(Employees!$C$2:$C$17,MATCH(B727,Employees!$A$2:$A$17,0))</f>
        <v>Picker</v>
      </c>
      <c r="J727" s="25">
        <f t="shared" si="22"/>
        <v>55.882352941176471</v>
      </c>
      <c r="K727" s="19">
        <f>IF(J727=0,0,J727/INDEX('Labor Dashboard'!$C$36:$C$39,MATCH(E727,'Labor Dashboard'!$B$36:$B$39,0)))</f>
        <v>1.0160427807486632</v>
      </c>
      <c r="L727" s="18">
        <f t="shared" si="23"/>
        <v>10</v>
      </c>
      <c r="M727" s="20">
        <f>G727*INDEX(Employees!$E$2:$E$17,MATCH(B727,Employees!$A$2:$A$17,0))</f>
        <v>115.6</v>
      </c>
    </row>
    <row r="728" spans="1:13" ht="18" x14ac:dyDescent="0.2">
      <c r="A728" s="17">
        <v>1614</v>
      </c>
      <c r="B728" s="17">
        <v>21</v>
      </c>
      <c r="C728" s="17" t="s">
        <v>532</v>
      </c>
      <c r="D728" s="17" t="s">
        <v>793</v>
      </c>
      <c r="E728" s="17" t="s">
        <v>794</v>
      </c>
      <c r="F728" s="17">
        <v>303</v>
      </c>
      <c r="G728" s="17">
        <v>8.1</v>
      </c>
      <c r="H728" s="17" t="str">
        <f>INDEX(Employees!$B$2:$B$17,MATCH(B728,Employees!$A$2:$A$17,0))</f>
        <v>Riley</v>
      </c>
      <c r="I728" s="17" t="str">
        <f>INDEX(Employees!$C$2:$C$17,MATCH(B728,Employees!$A$2:$A$17,0))</f>
        <v>Packer</v>
      </c>
      <c r="J728" s="25">
        <f t="shared" si="22"/>
        <v>37.407407407407412</v>
      </c>
      <c r="K728" s="19">
        <f>IF(J728=0,0,J728/INDEX('Labor Dashboard'!$C$36:$C$39,MATCH(E728,'Labor Dashboard'!$B$36:$B$39,0)))</f>
        <v>0.83127572016460916</v>
      </c>
      <c r="L728" s="18">
        <f t="shared" si="23"/>
        <v>10</v>
      </c>
      <c r="M728" s="20">
        <f>G728*INDEX(Employees!$E$2:$E$17,MATCH(B728,Employees!$A$2:$A$17,0))</f>
        <v>137.69999999999999</v>
      </c>
    </row>
    <row r="729" spans="1:13" ht="18" x14ac:dyDescent="0.2">
      <c r="A729" s="17">
        <v>1615</v>
      </c>
      <c r="B729" s="17">
        <v>23</v>
      </c>
      <c r="C729" s="17" t="s">
        <v>532</v>
      </c>
      <c r="D729" s="17" t="s">
        <v>793</v>
      </c>
      <c r="E729" s="17" t="s">
        <v>794</v>
      </c>
      <c r="F729" s="17">
        <v>372</v>
      </c>
      <c r="G729" s="17">
        <v>8</v>
      </c>
      <c r="H729" s="17" t="str">
        <f>INDEX(Employees!$B$2:$B$17,MATCH(B729,Employees!$A$2:$A$17,0))</f>
        <v>Cameron</v>
      </c>
      <c r="I729" s="17" t="str">
        <f>INDEX(Employees!$C$2:$C$17,MATCH(B729,Employees!$A$2:$A$17,0))</f>
        <v>Packer</v>
      </c>
      <c r="J729" s="25">
        <f t="shared" si="22"/>
        <v>46.5</v>
      </c>
      <c r="K729" s="19">
        <f>IF(J729=0,0,J729/INDEX('Labor Dashboard'!$C$36:$C$39,MATCH(E729,'Labor Dashboard'!$B$36:$B$39,0)))</f>
        <v>1.0333333333333334</v>
      </c>
      <c r="L729" s="18">
        <f t="shared" si="23"/>
        <v>10</v>
      </c>
      <c r="M729" s="20">
        <f>G729*INDEX(Employees!$E$2:$E$17,MATCH(B729,Employees!$A$2:$A$17,0))</f>
        <v>136</v>
      </c>
    </row>
    <row r="730" spans="1:13" ht="18" x14ac:dyDescent="0.2">
      <c r="A730" s="17">
        <v>1616</v>
      </c>
      <c r="B730" s="17">
        <v>24</v>
      </c>
      <c r="C730" s="17" t="s">
        <v>532</v>
      </c>
      <c r="D730" s="17" t="s">
        <v>793</v>
      </c>
      <c r="E730" s="17" t="s">
        <v>792</v>
      </c>
      <c r="F730" s="17">
        <v>491</v>
      </c>
      <c r="G730" s="17">
        <v>8.4</v>
      </c>
      <c r="H730" s="17" t="str">
        <f>INDEX(Employees!$B$2:$B$17,MATCH(B730,Employees!$A$2:$A$17,0))</f>
        <v>Dakota</v>
      </c>
      <c r="I730" s="17" t="str">
        <f>INDEX(Employees!$C$2:$C$17,MATCH(B730,Employees!$A$2:$A$17,0))</f>
        <v>Forklift Operator</v>
      </c>
      <c r="J730" s="25">
        <f t="shared" si="22"/>
        <v>58.452380952380949</v>
      </c>
      <c r="K730" s="19">
        <f>IF(J730=0,0,J730/INDEX('Labor Dashboard'!$C$36:$C$39,MATCH(E730,'Labor Dashboard'!$B$36:$B$39,0)))</f>
        <v>1.0627705627705628</v>
      </c>
      <c r="L730" s="18">
        <f t="shared" si="23"/>
        <v>10</v>
      </c>
      <c r="M730" s="20">
        <f>G730*INDEX(Employees!$E$2:$E$17,MATCH(B730,Employees!$A$2:$A$17,0))</f>
        <v>163.80000000000001</v>
      </c>
    </row>
    <row r="731" spans="1:13" ht="18" x14ac:dyDescent="0.2">
      <c r="A731" s="17">
        <v>1617</v>
      </c>
      <c r="B731" s="17">
        <v>25</v>
      </c>
      <c r="C731" s="17" t="s">
        <v>532</v>
      </c>
      <c r="D731" s="17" t="s">
        <v>793</v>
      </c>
      <c r="E731" s="17" t="s">
        <v>795</v>
      </c>
      <c r="F731" s="17">
        <v>197</v>
      </c>
      <c r="G731" s="17">
        <v>7</v>
      </c>
      <c r="H731" s="17" t="str">
        <f>INDEX(Employees!$B$2:$B$17,MATCH(B731,Employees!$A$2:$A$17,0))</f>
        <v>Hayden</v>
      </c>
      <c r="I731" s="17" t="str">
        <f>INDEX(Employees!$C$2:$C$17,MATCH(B731,Employees!$A$2:$A$17,0))</f>
        <v>Forklift Operator</v>
      </c>
      <c r="J731" s="25">
        <f t="shared" si="22"/>
        <v>28.142857142857142</v>
      </c>
      <c r="K731" s="19">
        <f>IF(J731=0,0,J731/INDEX('Labor Dashboard'!$C$36:$C$39,MATCH(E731,'Labor Dashboard'!$B$36:$B$39,0)))</f>
        <v>0.93809523809523809</v>
      </c>
      <c r="L731" s="18">
        <f t="shared" si="23"/>
        <v>10</v>
      </c>
      <c r="M731" s="20">
        <f>G731*INDEX(Employees!$E$2:$E$17,MATCH(B731,Employees!$A$2:$A$17,0))</f>
        <v>136.5</v>
      </c>
    </row>
    <row r="732" spans="1:13" ht="18" x14ac:dyDescent="0.2">
      <c r="A732" s="17">
        <v>1618</v>
      </c>
      <c r="B732" s="17">
        <v>26</v>
      </c>
      <c r="C732" s="17" t="s">
        <v>532</v>
      </c>
      <c r="D732" s="17" t="s">
        <v>793</v>
      </c>
      <c r="E732" s="17" t="s">
        <v>795</v>
      </c>
      <c r="F732" s="17">
        <v>199</v>
      </c>
      <c r="G732" s="17">
        <v>7.2</v>
      </c>
      <c r="H732" s="17" t="str">
        <f>INDEX(Employees!$B$2:$B$17,MATCH(B732,Employees!$A$2:$A$17,0))</f>
        <v>Reese</v>
      </c>
      <c r="I732" s="17" t="str">
        <f>INDEX(Employees!$C$2:$C$17,MATCH(B732,Employees!$A$2:$A$17,0))</f>
        <v>Receiving Clerk</v>
      </c>
      <c r="J732" s="25">
        <f t="shared" si="22"/>
        <v>27.638888888888889</v>
      </c>
      <c r="K732" s="19">
        <f>IF(J732=0,0,J732/INDEX('Labor Dashboard'!$C$36:$C$39,MATCH(E732,'Labor Dashboard'!$B$36:$B$39,0)))</f>
        <v>0.92129629629629628</v>
      </c>
      <c r="L732" s="18">
        <f t="shared" si="23"/>
        <v>10</v>
      </c>
      <c r="M732" s="20">
        <f>G732*INDEX(Employees!$E$2:$E$17,MATCH(B732,Employees!$A$2:$A$17,0))</f>
        <v>129.6</v>
      </c>
    </row>
    <row r="733" spans="1:13" ht="18" x14ac:dyDescent="0.2">
      <c r="A733" s="17">
        <v>1619</v>
      </c>
      <c r="B733" s="17">
        <v>27</v>
      </c>
      <c r="C733" s="17" t="s">
        <v>532</v>
      </c>
      <c r="D733" s="17" t="s">
        <v>793</v>
      </c>
      <c r="E733" s="17" t="s">
        <v>795</v>
      </c>
      <c r="F733" s="17">
        <v>170</v>
      </c>
      <c r="G733" s="17">
        <v>7.5</v>
      </c>
      <c r="H733" s="17" t="str">
        <f>INDEX(Employees!$B$2:$B$17,MATCH(B733,Employees!$A$2:$A$17,0))</f>
        <v>Skyler</v>
      </c>
      <c r="I733" s="17" t="str">
        <f>INDEX(Employees!$C$2:$C$17,MATCH(B733,Employees!$A$2:$A$17,0))</f>
        <v>Receiving Clerk</v>
      </c>
      <c r="J733" s="25">
        <f t="shared" si="22"/>
        <v>22.666666666666668</v>
      </c>
      <c r="K733" s="19">
        <f>IF(J733=0,0,J733/INDEX('Labor Dashboard'!$C$36:$C$39,MATCH(E733,'Labor Dashboard'!$B$36:$B$39,0)))</f>
        <v>0.75555555555555565</v>
      </c>
      <c r="L733" s="18">
        <f t="shared" si="23"/>
        <v>10</v>
      </c>
      <c r="M733" s="20">
        <f>G733*INDEX(Employees!$E$2:$E$17,MATCH(B733,Employees!$A$2:$A$17,0))</f>
        <v>135</v>
      </c>
    </row>
    <row r="734" spans="1:13" ht="18" x14ac:dyDescent="0.2">
      <c r="A734" s="17">
        <v>1620</v>
      </c>
      <c r="B734" s="17">
        <v>28</v>
      </c>
      <c r="C734" s="17" t="s">
        <v>532</v>
      </c>
      <c r="D734" s="17" t="s">
        <v>793</v>
      </c>
      <c r="E734" s="17" t="s">
        <v>796</v>
      </c>
      <c r="F734" s="17">
        <v>197</v>
      </c>
      <c r="G734" s="17">
        <v>8.5</v>
      </c>
      <c r="H734" s="17" t="str">
        <f>INDEX(Employees!$B$2:$B$17,MATCH(B734,Employees!$A$2:$A$17,0))</f>
        <v>Peyton</v>
      </c>
      <c r="I734" s="17" t="str">
        <f>INDEX(Employees!$C$2:$C$17,MATCH(B734,Employees!$A$2:$A$17,0))</f>
        <v>Cycle Counter</v>
      </c>
      <c r="J734" s="25">
        <f t="shared" si="22"/>
        <v>23.176470588235293</v>
      </c>
      <c r="K734" s="19">
        <f>IF(J734=0,0,J734/INDEX('Labor Dashboard'!$C$36:$C$39,MATCH(E734,'Labor Dashboard'!$B$36:$B$39,0)))</f>
        <v>0.92705882352941171</v>
      </c>
      <c r="L734" s="18">
        <f t="shared" si="23"/>
        <v>10</v>
      </c>
      <c r="M734" s="20">
        <f>G734*INDEX(Employees!$E$2:$E$17,MATCH(B734,Employees!$A$2:$A$17,0))</f>
        <v>153</v>
      </c>
    </row>
    <row r="735" spans="1:13" ht="18" x14ac:dyDescent="0.2">
      <c r="A735" s="17">
        <v>1621</v>
      </c>
      <c r="B735" s="17">
        <v>29</v>
      </c>
      <c r="C735" s="17" t="s">
        <v>532</v>
      </c>
      <c r="D735" s="17" t="s">
        <v>791</v>
      </c>
      <c r="E735" s="17" t="s">
        <v>796</v>
      </c>
      <c r="F735" s="17">
        <v>203</v>
      </c>
      <c r="G735" s="17">
        <v>8.1</v>
      </c>
      <c r="H735" s="17" t="str">
        <f>INDEX(Employees!$B$2:$B$17,MATCH(B735,Employees!$A$2:$A$17,0))</f>
        <v>Rowan</v>
      </c>
      <c r="I735" s="17" t="str">
        <f>INDEX(Employees!$C$2:$C$17,MATCH(B735,Employees!$A$2:$A$17,0))</f>
        <v>Cycle Counter</v>
      </c>
      <c r="J735" s="25">
        <f t="shared" si="22"/>
        <v>25.061728395061728</v>
      </c>
      <c r="K735" s="19">
        <f>IF(J735=0,0,J735/INDEX('Labor Dashboard'!$C$36:$C$39,MATCH(E735,'Labor Dashboard'!$B$36:$B$39,0)))</f>
        <v>1.0024691358024691</v>
      </c>
      <c r="L735" s="18">
        <f t="shared" si="23"/>
        <v>10</v>
      </c>
      <c r="M735" s="20">
        <f>G735*INDEX(Employees!$E$2:$E$17,MATCH(B735,Employees!$A$2:$A$17,0))</f>
        <v>145.79999999999998</v>
      </c>
    </row>
    <row r="736" spans="1:13" ht="18" x14ac:dyDescent="0.2">
      <c r="A736" s="17">
        <v>1622</v>
      </c>
      <c r="B736" s="17">
        <v>30</v>
      </c>
      <c r="C736" s="17" t="s">
        <v>532</v>
      </c>
      <c r="D736" s="17" t="s">
        <v>793</v>
      </c>
      <c r="E736" s="17" t="s">
        <v>796</v>
      </c>
      <c r="F736" s="17">
        <v>148</v>
      </c>
      <c r="G736" s="17">
        <v>7.4</v>
      </c>
      <c r="H736" s="17" t="str">
        <f>INDEX(Employees!$B$2:$B$17,MATCH(B736,Employees!$A$2:$A$17,0))</f>
        <v>Emerson</v>
      </c>
      <c r="I736" s="17" t="str">
        <f>INDEX(Employees!$C$2:$C$17,MATCH(B736,Employees!$A$2:$A$17,0))</f>
        <v>Shift Supervisor</v>
      </c>
      <c r="J736" s="25">
        <f t="shared" si="22"/>
        <v>20</v>
      </c>
      <c r="K736" s="19">
        <f>IF(J736=0,0,J736/INDEX('Labor Dashboard'!$C$36:$C$39,MATCH(E736,'Labor Dashboard'!$B$36:$B$39,0)))</f>
        <v>0.8</v>
      </c>
      <c r="L736" s="18">
        <f t="shared" si="23"/>
        <v>10</v>
      </c>
      <c r="M736" s="20">
        <f>G736*INDEX(Employees!$E$2:$E$17,MATCH(B736,Employees!$A$2:$A$17,0))</f>
        <v>177.60000000000002</v>
      </c>
    </row>
    <row r="737" spans="1:13" ht="18" x14ac:dyDescent="0.2">
      <c r="A737" s="17">
        <v>1623</v>
      </c>
      <c r="B737" s="17">
        <v>32</v>
      </c>
      <c r="C737" s="17" t="s">
        <v>532</v>
      </c>
      <c r="D737" s="17" t="s">
        <v>791</v>
      </c>
      <c r="E737" s="17" t="s">
        <v>792</v>
      </c>
      <c r="F737" s="17">
        <v>417</v>
      </c>
      <c r="G737" s="17">
        <v>8.4</v>
      </c>
      <c r="H737" s="17" t="str">
        <f>INDEX(Employees!$B$2:$B$17,MATCH(B737,Employees!$A$2:$A$17,0))</f>
        <v>Sawyer</v>
      </c>
      <c r="I737" s="17" t="str">
        <f>INDEX(Employees!$C$2:$C$17,MATCH(B737,Employees!$A$2:$A$17,0))</f>
        <v>Shift Supervisor</v>
      </c>
      <c r="J737" s="25">
        <f t="shared" si="22"/>
        <v>49.642857142857139</v>
      </c>
      <c r="K737" s="19">
        <f>IF(J737=0,0,J737/INDEX('Labor Dashboard'!$C$36:$C$39,MATCH(E737,'Labor Dashboard'!$B$36:$B$39,0)))</f>
        <v>0.90259740259740251</v>
      </c>
      <c r="L737" s="18">
        <f t="shared" si="23"/>
        <v>10</v>
      </c>
      <c r="M737" s="20">
        <f>G737*INDEX(Employees!$E$2:$E$17,MATCH(B737,Employees!$A$2:$A$17,0))</f>
        <v>201.60000000000002</v>
      </c>
    </row>
    <row r="738" spans="1:13" ht="18" x14ac:dyDescent="0.2">
      <c r="A738" s="17">
        <v>1624</v>
      </c>
      <c r="B738" s="17">
        <v>18</v>
      </c>
      <c r="C738" s="17" t="s">
        <v>540</v>
      </c>
      <c r="D738" s="17" t="s">
        <v>793</v>
      </c>
      <c r="E738" s="17" t="s">
        <v>792</v>
      </c>
      <c r="F738" s="17">
        <v>419</v>
      </c>
      <c r="G738" s="17">
        <v>7.9</v>
      </c>
      <c r="H738" s="17" t="str">
        <f>INDEX(Employees!$B$2:$B$17,MATCH(B738,Employees!$A$2:$A$17,0))</f>
        <v>Casey</v>
      </c>
      <c r="I738" s="17" t="str">
        <f>INDEX(Employees!$C$2:$C$17,MATCH(B738,Employees!$A$2:$A$17,0))</f>
        <v>Picker</v>
      </c>
      <c r="J738" s="25">
        <f t="shared" si="22"/>
        <v>53.037974683544299</v>
      </c>
      <c r="K738" s="19">
        <f>IF(J738=0,0,J738/INDEX('Labor Dashboard'!$C$36:$C$39,MATCH(E738,'Labor Dashboard'!$B$36:$B$39,0)))</f>
        <v>0.96432681242807816</v>
      </c>
      <c r="L738" s="18">
        <f t="shared" si="23"/>
        <v>10</v>
      </c>
      <c r="M738" s="20">
        <f>G738*INDEX(Employees!$E$2:$E$17,MATCH(B738,Employees!$A$2:$A$17,0))</f>
        <v>134.30000000000001</v>
      </c>
    </row>
    <row r="739" spans="1:13" ht="18" x14ac:dyDescent="0.2">
      <c r="A739" s="17">
        <v>1625</v>
      </c>
      <c r="B739" s="17">
        <v>20</v>
      </c>
      <c r="C739" s="17" t="s">
        <v>540</v>
      </c>
      <c r="D739" s="17" t="s">
        <v>791</v>
      </c>
      <c r="E739" s="17" t="s">
        <v>792</v>
      </c>
      <c r="F739" s="17">
        <v>413</v>
      </c>
      <c r="G739" s="17">
        <v>7.8</v>
      </c>
      <c r="H739" s="17" t="str">
        <f>INDEX(Employees!$B$2:$B$17,MATCH(B739,Employees!$A$2:$A$17,0))</f>
        <v>Taylor</v>
      </c>
      <c r="I739" s="17" t="str">
        <f>INDEX(Employees!$C$2:$C$17,MATCH(B739,Employees!$A$2:$A$17,0))</f>
        <v>Picker</v>
      </c>
      <c r="J739" s="25">
        <f t="shared" si="22"/>
        <v>52.948717948717949</v>
      </c>
      <c r="K739" s="19">
        <f>IF(J739=0,0,J739/INDEX('Labor Dashboard'!$C$36:$C$39,MATCH(E739,'Labor Dashboard'!$B$36:$B$39,0)))</f>
        <v>0.96270396270396275</v>
      </c>
      <c r="L739" s="18">
        <f t="shared" si="23"/>
        <v>10</v>
      </c>
      <c r="M739" s="20">
        <f>G739*INDEX(Employees!$E$2:$E$17,MATCH(B739,Employees!$A$2:$A$17,0))</f>
        <v>132.6</v>
      </c>
    </row>
    <row r="740" spans="1:13" ht="18" x14ac:dyDescent="0.2">
      <c r="A740" s="17">
        <v>1626</v>
      </c>
      <c r="B740" s="17">
        <v>21</v>
      </c>
      <c r="C740" s="17" t="s">
        <v>540</v>
      </c>
      <c r="D740" s="17" t="s">
        <v>793</v>
      </c>
      <c r="E740" s="17" t="s">
        <v>794</v>
      </c>
      <c r="F740" s="17">
        <v>328</v>
      </c>
      <c r="G740" s="17">
        <v>7.4</v>
      </c>
      <c r="H740" s="17" t="str">
        <f>INDEX(Employees!$B$2:$B$17,MATCH(B740,Employees!$A$2:$A$17,0))</f>
        <v>Riley</v>
      </c>
      <c r="I740" s="17" t="str">
        <f>INDEX(Employees!$C$2:$C$17,MATCH(B740,Employees!$A$2:$A$17,0))</f>
        <v>Packer</v>
      </c>
      <c r="J740" s="25">
        <f t="shared" si="22"/>
        <v>44.324324324324323</v>
      </c>
      <c r="K740" s="19">
        <f>IF(J740=0,0,J740/INDEX('Labor Dashboard'!$C$36:$C$39,MATCH(E740,'Labor Dashboard'!$B$36:$B$39,0)))</f>
        <v>0.98498498498498499</v>
      </c>
      <c r="L740" s="18">
        <f t="shared" si="23"/>
        <v>10</v>
      </c>
      <c r="M740" s="20">
        <f>G740*INDEX(Employees!$E$2:$E$17,MATCH(B740,Employees!$A$2:$A$17,0))</f>
        <v>125.80000000000001</v>
      </c>
    </row>
    <row r="741" spans="1:13" ht="18" x14ac:dyDescent="0.2">
      <c r="A741" s="17">
        <v>1627</v>
      </c>
      <c r="B741" s="17">
        <v>22</v>
      </c>
      <c r="C741" s="17" t="s">
        <v>540</v>
      </c>
      <c r="D741" s="17" t="s">
        <v>791</v>
      </c>
      <c r="E741" s="17" t="s">
        <v>794</v>
      </c>
      <c r="F741" s="17">
        <v>362</v>
      </c>
      <c r="G741" s="17">
        <v>7.9</v>
      </c>
      <c r="H741" s="17" t="str">
        <f>INDEX(Employees!$B$2:$B$17,MATCH(B741,Employees!$A$2:$A$17,0))</f>
        <v>Avery</v>
      </c>
      <c r="I741" s="17" t="str">
        <f>INDEX(Employees!$C$2:$C$17,MATCH(B741,Employees!$A$2:$A$17,0))</f>
        <v>Packer</v>
      </c>
      <c r="J741" s="25">
        <f t="shared" si="22"/>
        <v>45.822784810126578</v>
      </c>
      <c r="K741" s="19">
        <f>IF(J741=0,0,J741/INDEX('Labor Dashboard'!$C$36:$C$39,MATCH(E741,'Labor Dashboard'!$B$36:$B$39,0)))</f>
        <v>1.0182841068917017</v>
      </c>
      <c r="L741" s="18">
        <f t="shared" si="23"/>
        <v>10</v>
      </c>
      <c r="M741" s="20">
        <f>G741*INDEX(Employees!$E$2:$E$17,MATCH(B741,Employees!$A$2:$A$17,0))</f>
        <v>134.30000000000001</v>
      </c>
    </row>
    <row r="742" spans="1:13" ht="18" x14ac:dyDescent="0.2">
      <c r="A742" s="17">
        <v>1628</v>
      </c>
      <c r="B742" s="17">
        <v>23</v>
      </c>
      <c r="C742" s="17" t="s">
        <v>540</v>
      </c>
      <c r="D742" s="17" t="s">
        <v>793</v>
      </c>
      <c r="E742" s="17" t="s">
        <v>794</v>
      </c>
      <c r="F742" s="17">
        <v>328</v>
      </c>
      <c r="G742" s="17">
        <v>6.5</v>
      </c>
      <c r="H742" s="17" t="str">
        <f>INDEX(Employees!$B$2:$B$17,MATCH(B742,Employees!$A$2:$A$17,0))</f>
        <v>Cameron</v>
      </c>
      <c r="I742" s="17" t="str">
        <f>INDEX(Employees!$C$2:$C$17,MATCH(B742,Employees!$A$2:$A$17,0))</f>
        <v>Packer</v>
      </c>
      <c r="J742" s="25">
        <f t="shared" si="22"/>
        <v>50.46153846153846</v>
      </c>
      <c r="K742" s="19">
        <f>IF(J742=0,0,J742/INDEX('Labor Dashboard'!$C$36:$C$39,MATCH(E742,'Labor Dashboard'!$B$36:$B$39,0)))</f>
        <v>1.1213675213675214</v>
      </c>
      <c r="L742" s="18">
        <f t="shared" si="23"/>
        <v>10</v>
      </c>
      <c r="M742" s="20">
        <f>G742*INDEX(Employees!$E$2:$E$17,MATCH(B742,Employees!$A$2:$A$17,0))</f>
        <v>110.5</v>
      </c>
    </row>
    <row r="743" spans="1:13" ht="18" x14ac:dyDescent="0.2">
      <c r="A743" s="17">
        <v>1629</v>
      </c>
      <c r="B743" s="17">
        <v>24</v>
      </c>
      <c r="C743" s="17" t="s">
        <v>540</v>
      </c>
      <c r="D743" s="17" t="s">
        <v>793</v>
      </c>
      <c r="E743" s="17" t="s">
        <v>795</v>
      </c>
      <c r="F743" s="17">
        <v>215</v>
      </c>
      <c r="G743" s="17">
        <v>7.2</v>
      </c>
      <c r="H743" s="17" t="str">
        <f>INDEX(Employees!$B$2:$B$17,MATCH(B743,Employees!$A$2:$A$17,0))</f>
        <v>Dakota</v>
      </c>
      <c r="I743" s="17" t="str">
        <f>INDEX(Employees!$C$2:$C$17,MATCH(B743,Employees!$A$2:$A$17,0))</f>
        <v>Forklift Operator</v>
      </c>
      <c r="J743" s="25">
        <f t="shared" si="22"/>
        <v>29.861111111111111</v>
      </c>
      <c r="K743" s="19">
        <f>IF(J743=0,0,J743/INDEX('Labor Dashboard'!$C$36:$C$39,MATCH(E743,'Labor Dashboard'!$B$36:$B$39,0)))</f>
        <v>0.99537037037037035</v>
      </c>
      <c r="L743" s="18">
        <f t="shared" si="23"/>
        <v>10</v>
      </c>
      <c r="M743" s="20">
        <f>G743*INDEX(Employees!$E$2:$E$17,MATCH(B743,Employees!$A$2:$A$17,0))</f>
        <v>140.4</v>
      </c>
    </row>
    <row r="744" spans="1:13" ht="18" x14ac:dyDescent="0.2">
      <c r="A744" s="17">
        <v>1630</v>
      </c>
      <c r="B744" s="17">
        <v>25</v>
      </c>
      <c r="C744" s="17" t="s">
        <v>540</v>
      </c>
      <c r="D744" s="17" t="s">
        <v>791</v>
      </c>
      <c r="E744" s="17" t="s">
        <v>792</v>
      </c>
      <c r="F744" s="17">
        <v>382</v>
      </c>
      <c r="G744" s="17">
        <v>7</v>
      </c>
      <c r="H744" s="17" t="str">
        <f>INDEX(Employees!$B$2:$B$17,MATCH(B744,Employees!$A$2:$A$17,0))</f>
        <v>Hayden</v>
      </c>
      <c r="I744" s="17" t="str">
        <f>INDEX(Employees!$C$2:$C$17,MATCH(B744,Employees!$A$2:$A$17,0))</f>
        <v>Forklift Operator</v>
      </c>
      <c r="J744" s="25">
        <f t="shared" si="22"/>
        <v>54.571428571428569</v>
      </c>
      <c r="K744" s="19">
        <f>IF(J744=0,0,J744/INDEX('Labor Dashboard'!$C$36:$C$39,MATCH(E744,'Labor Dashboard'!$B$36:$B$39,0)))</f>
        <v>0.99220779220779221</v>
      </c>
      <c r="L744" s="18">
        <f t="shared" si="23"/>
        <v>10</v>
      </c>
      <c r="M744" s="20">
        <f>G744*INDEX(Employees!$E$2:$E$17,MATCH(B744,Employees!$A$2:$A$17,0))</f>
        <v>136.5</v>
      </c>
    </row>
    <row r="745" spans="1:13" ht="18" x14ac:dyDescent="0.2">
      <c r="A745" s="17">
        <v>1631</v>
      </c>
      <c r="B745" s="17">
        <v>26</v>
      </c>
      <c r="C745" s="17" t="s">
        <v>540</v>
      </c>
      <c r="D745" s="17" t="s">
        <v>791</v>
      </c>
      <c r="E745" s="17" t="s">
        <v>795</v>
      </c>
      <c r="F745" s="17">
        <v>225</v>
      </c>
      <c r="G745" s="17">
        <v>8.5</v>
      </c>
      <c r="H745" s="17" t="str">
        <f>INDEX(Employees!$B$2:$B$17,MATCH(B745,Employees!$A$2:$A$17,0))</f>
        <v>Reese</v>
      </c>
      <c r="I745" s="17" t="str">
        <f>INDEX(Employees!$C$2:$C$17,MATCH(B745,Employees!$A$2:$A$17,0))</f>
        <v>Receiving Clerk</v>
      </c>
      <c r="J745" s="25">
        <f t="shared" si="22"/>
        <v>26.470588235294116</v>
      </c>
      <c r="K745" s="19">
        <f>IF(J745=0,0,J745/INDEX('Labor Dashboard'!$C$36:$C$39,MATCH(E745,'Labor Dashboard'!$B$36:$B$39,0)))</f>
        <v>0.88235294117647056</v>
      </c>
      <c r="L745" s="18">
        <f t="shared" si="23"/>
        <v>10</v>
      </c>
      <c r="M745" s="20">
        <f>G745*INDEX(Employees!$E$2:$E$17,MATCH(B745,Employees!$A$2:$A$17,0))</f>
        <v>153</v>
      </c>
    </row>
    <row r="746" spans="1:13" ht="18" x14ac:dyDescent="0.2">
      <c r="A746" s="17">
        <v>1632</v>
      </c>
      <c r="B746" s="17">
        <v>27</v>
      </c>
      <c r="C746" s="17" t="s">
        <v>540</v>
      </c>
      <c r="D746" s="17" t="s">
        <v>793</v>
      </c>
      <c r="E746" s="17" t="s">
        <v>795</v>
      </c>
      <c r="F746" s="17">
        <v>172</v>
      </c>
      <c r="G746" s="17">
        <v>6.7</v>
      </c>
      <c r="H746" s="17" t="str">
        <f>INDEX(Employees!$B$2:$B$17,MATCH(B746,Employees!$A$2:$A$17,0))</f>
        <v>Skyler</v>
      </c>
      <c r="I746" s="17" t="str">
        <f>INDEX(Employees!$C$2:$C$17,MATCH(B746,Employees!$A$2:$A$17,0))</f>
        <v>Receiving Clerk</v>
      </c>
      <c r="J746" s="25">
        <f t="shared" si="22"/>
        <v>25.671641791044774</v>
      </c>
      <c r="K746" s="19">
        <f>IF(J746=0,0,J746/INDEX('Labor Dashboard'!$C$36:$C$39,MATCH(E746,'Labor Dashboard'!$B$36:$B$39,0)))</f>
        <v>0.85572139303482575</v>
      </c>
      <c r="L746" s="18">
        <f t="shared" si="23"/>
        <v>10</v>
      </c>
      <c r="M746" s="20">
        <f>G746*INDEX(Employees!$E$2:$E$17,MATCH(B746,Employees!$A$2:$A$17,0))</f>
        <v>120.60000000000001</v>
      </c>
    </row>
    <row r="747" spans="1:13" ht="18" x14ac:dyDescent="0.2">
      <c r="A747" s="17">
        <v>1633</v>
      </c>
      <c r="B747" s="17">
        <v>28</v>
      </c>
      <c r="C747" s="17" t="s">
        <v>540</v>
      </c>
      <c r="D747" s="17" t="s">
        <v>791</v>
      </c>
      <c r="E747" s="17" t="s">
        <v>796</v>
      </c>
      <c r="F747" s="17">
        <v>172</v>
      </c>
      <c r="G747" s="17">
        <v>7.9</v>
      </c>
      <c r="H747" s="17" t="str">
        <f>INDEX(Employees!$B$2:$B$17,MATCH(B747,Employees!$A$2:$A$17,0))</f>
        <v>Peyton</v>
      </c>
      <c r="I747" s="17" t="str">
        <f>INDEX(Employees!$C$2:$C$17,MATCH(B747,Employees!$A$2:$A$17,0))</f>
        <v>Cycle Counter</v>
      </c>
      <c r="J747" s="25">
        <f t="shared" si="22"/>
        <v>21.772151898734176</v>
      </c>
      <c r="K747" s="19">
        <f>IF(J747=0,0,J747/INDEX('Labor Dashboard'!$C$36:$C$39,MATCH(E747,'Labor Dashboard'!$B$36:$B$39,0)))</f>
        <v>0.87088607594936707</v>
      </c>
      <c r="L747" s="18">
        <f t="shared" si="23"/>
        <v>10</v>
      </c>
      <c r="M747" s="20">
        <f>G747*INDEX(Employees!$E$2:$E$17,MATCH(B747,Employees!$A$2:$A$17,0))</f>
        <v>142.20000000000002</v>
      </c>
    </row>
    <row r="748" spans="1:13" ht="18" x14ac:dyDescent="0.2">
      <c r="A748" s="17">
        <v>1634</v>
      </c>
      <c r="B748" s="17">
        <v>29</v>
      </c>
      <c r="C748" s="17" t="s">
        <v>540</v>
      </c>
      <c r="D748" s="17" t="s">
        <v>791</v>
      </c>
      <c r="E748" s="17" t="s">
        <v>796</v>
      </c>
      <c r="F748" s="17">
        <v>206</v>
      </c>
      <c r="G748" s="17">
        <v>7.4</v>
      </c>
      <c r="H748" s="17" t="str">
        <f>INDEX(Employees!$B$2:$B$17,MATCH(B748,Employees!$A$2:$A$17,0))</f>
        <v>Rowan</v>
      </c>
      <c r="I748" s="17" t="str">
        <f>INDEX(Employees!$C$2:$C$17,MATCH(B748,Employees!$A$2:$A$17,0))</f>
        <v>Cycle Counter</v>
      </c>
      <c r="J748" s="25">
        <f t="shared" si="22"/>
        <v>27.837837837837835</v>
      </c>
      <c r="K748" s="19">
        <f>IF(J748=0,0,J748/INDEX('Labor Dashboard'!$C$36:$C$39,MATCH(E748,'Labor Dashboard'!$B$36:$B$39,0)))</f>
        <v>1.1135135135135135</v>
      </c>
      <c r="L748" s="18">
        <f t="shared" si="23"/>
        <v>10</v>
      </c>
      <c r="M748" s="20">
        <f>G748*INDEX(Employees!$E$2:$E$17,MATCH(B748,Employees!$A$2:$A$17,0))</f>
        <v>133.20000000000002</v>
      </c>
    </row>
    <row r="749" spans="1:13" ht="18" x14ac:dyDescent="0.2">
      <c r="A749" s="17">
        <v>1635</v>
      </c>
      <c r="B749" s="17">
        <v>30</v>
      </c>
      <c r="C749" s="17" t="s">
        <v>540</v>
      </c>
      <c r="D749" s="17" t="s">
        <v>791</v>
      </c>
      <c r="E749" s="17" t="s">
        <v>792</v>
      </c>
      <c r="F749" s="17">
        <v>336</v>
      </c>
      <c r="G749" s="17">
        <v>6.9</v>
      </c>
      <c r="H749" s="17" t="str">
        <f>INDEX(Employees!$B$2:$B$17,MATCH(B749,Employees!$A$2:$A$17,0))</f>
        <v>Emerson</v>
      </c>
      <c r="I749" s="17" t="str">
        <f>INDEX(Employees!$C$2:$C$17,MATCH(B749,Employees!$A$2:$A$17,0))</f>
        <v>Shift Supervisor</v>
      </c>
      <c r="J749" s="25">
        <f t="shared" si="22"/>
        <v>48.695652173913039</v>
      </c>
      <c r="K749" s="19">
        <f>IF(J749=0,0,J749/INDEX('Labor Dashboard'!$C$36:$C$39,MATCH(E749,'Labor Dashboard'!$B$36:$B$39,0)))</f>
        <v>0.88537549407114613</v>
      </c>
      <c r="L749" s="18">
        <f t="shared" si="23"/>
        <v>10</v>
      </c>
      <c r="M749" s="20">
        <f>G749*INDEX(Employees!$E$2:$E$17,MATCH(B749,Employees!$A$2:$A$17,0))</f>
        <v>165.60000000000002</v>
      </c>
    </row>
    <row r="750" spans="1:13" ht="18" x14ac:dyDescent="0.2">
      <c r="A750" s="17">
        <v>1636</v>
      </c>
      <c r="B750" s="17">
        <v>31</v>
      </c>
      <c r="C750" s="17" t="s">
        <v>540</v>
      </c>
      <c r="D750" s="17" t="s">
        <v>793</v>
      </c>
      <c r="E750" s="17" t="s">
        <v>792</v>
      </c>
      <c r="F750" s="17">
        <v>513</v>
      </c>
      <c r="G750" s="17">
        <v>8.1999999999999993</v>
      </c>
      <c r="H750" s="17" t="str">
        <f>INDEX(Employees!$B$2:$B$17,MATCH(B750,Employees!$A$2:$A$17,0))</f>
        <v>Finley</v>
      </c>
      <c r="I750" s="17" t="str">
        <f>INDEX(Employees!$C$2:$C$17,MATCH(B750,Employees!$A$2:$A$17,0))</f>
        <v>Shift Supervisor</v>
      </c>
      <c r="J750" s="25">
        <f t="shared" si="22"/>
        <v>62.560975609756106</v>
      </c>
      <c r="K750" s="19">
        <f>IF(J750=0,0,J750/INDEX('Labor Dashboard'!$C$36:$C$39,MATCH(E750,'Labor Dashboard'!$B$36:$B$39,0)))</f>
        <v>1.1374722838137474</v>
      </c>
      <c r="L750" s="18">
        <f t="shared" si="23"/>
        <v>10</v>
      </c>
      <c r="M750" s="20">
        <f>G750*INDEX(Employees!$E$2:$E$17,MATCH(B750,Employees!$A$2:$A$17,0))</f>
        <v>196.79999999999998</v>
      </c>
    </row>
    <row r="751" spans="1:13" ht="18" x14ac:dyDescent="0.2">
      <c r="A751" s="17">
        <v>1637</v>
      </c>
      <c r="B751" s="17">
        <v>32</v>
      </c>
      <c r="C751" s="17" t="s">
        <v>540</v>
      </c>
      <c r="D751" s="17" t="s">
        <v>793</v>
      </c>
      <c r="E751" s="17" t="s">
        <v>794</v>
      </c>
      <c r="F751" s="17">
        <v>303</v>
      </c>
      <c r="G751" s="17">
        <v>7.3</v>
      </c>
      <c r="H751" s="17" t="str">
        <f>INDEX(Employees!$B$2:$B$17,MATCH(B751,Employees!$A$2:$A$17,0))</f>
        <v>Sawyer</v>
      </c>
      <c r="I751" s="17" t="str">
        <f>INDEX(Employees!$C$2:$C$17,MATCH(B751,Employees!$A$2:$A$17,0))</f>
        <v>Shift Supervisor</v>
      </c>
      <c r="J751" s="25">
        <f t="shared" si="22"/>
        <v>41.506849315068493</v>
      </c>
      <c r="K751" s="19">
        <f>IF(J751=0,0,J751/INDEX('Labor Dashboard'!$C$36:$C$39,MATCH(E751,'Labor Dashboard'!$B$36:$B$39,0)))</f>
        <v>0.92237442922374424</v>
      </c>
      <c r="L751" s="18">
        <f t="shared" si="23"/>
        <v>10</v>
      </c>
      <c r="M751" s="20">
        <f>G751*INDEX(Employees!$E$2:$E$17,MATCH(B751,Employees!$A$2:$A$17,0))</f>
        <v>175.2</v>
      </c>
    </row>
    <row r="752" spans="1:13" ht="18" x14ac:dyDescent="0.2">
      <c r="A752" s="17">
        <v>1638</v>
      </c>
      <c r="B752" s="17">
        <v>17</v>
      </c>
      <c r="C752" s="17" t="s">
        <v>183</v>
      </c>
      <c r="D752" s="17" t="s">
        <v>793</v>
      </c>
      <c r="E752" s="17" t="s">
        <v>792</v>
      </c>
      <c r="F752" s="17">
        <v>339</v>
      </c>
      <c r="G752" s="17">
        <v>7.5</v>
      </c>
      <c r="H752" s="17" t="str">
        <f>INDEX(Employees!$B$2:$B$17,MATCH(B752,Employees!$A$2:$A$17,0))</f>
        <v>Jordan</v>
      </c>
      <c r="I752" s="17" t="str">
        <f>INDEX(Employees!$C$2:$C$17,MATCH(B752,Employees!$A$2:$A$17,0))</f>
        <v>Picker</v>
      </c>
      <c r="J752" s="25">
        <f t="shared" si="22"/>
        <v>45.2</v>
      </c>
      <c r="K752" s="19">
        <f>IF(J752=0,0,J752/INDEX('Labor Dashboard'!$C$36:$C$39,MATCH(E752,'Labor Dashboard'!$B$36:$B$39,0)))</f>
        <v>0.82181818181818189</v>
      </c>
      <c r="L752" s="18">
        <f t="shared" si="23"/>
        <v>11</v>
      </c>
      <c r="M752" s="20">
        <f>G752*INDEX(Employees!$E$2:$E$17,MATCH(B752,Employees!$A$2:$A$17,0))</f>
        <v>127.5</v>
      </c>
    </row>
    <row r="753" spans="1:13" ht="18" x14ac:dyDescent="0.2">
      <c r="A753" s="17">
        <v>1639</v>
      </c>
      <c r="B753" s="17">
        <v>18</v>
      </c>
      <c r="C753" s="17" t="s">
        <v>183</v>
      </c>
      <c r="D753" s="17" t="s">
        <v>791</v>
      </c>
      <c r="E753" s="17" t="s">
        <v>792</v>
      </c>
      <c r="F753" s="17">
        <v>364</v>
      </c>
      <c r="G753" s="17">
        <v>6.7</v>
      </c>
      <c r="H753" s="17" t="str">
        <f>INDEX(Employees!$B$2:$B$17,MATCH(B753,Employees!$A$2:$A$17,0))</f>
        <v>Casey</v>
      </c>
      <c r="I753" s="17" t="str">
        <f>INDEX(Employees!$C$2:$C$17,MATCH(B753,Employees!$A$2:$A$17,0))</f>
        <v>Picker</v>
      </c>
      <c r="J753" s="25">
        <f t="shared" si="22"/>
        <v>54.328358208955223</v>
      </c>
      <c r="K753" s="19">
        <f>IF(J753=0,0,J753/INDEX('Labor Dashboard'!$C$36:$C$39,MATCH(E753,'Labor Dashboard'!$B$36:$B$39,0)))</f>
        <v>0.98778833107191311</v>
      </c>
      <c r="L753" s="18">
        <f t="shared" si="23"/>
        <v>11</v>
      </c>
      <c r="M753" s="20">
        <f>G753*INDEX(Employees!$E$2:$E$17,MATCH(B753,Employees!$A$2:$A$17,0))</f>
        <v>113.9</v>
      </c>
    </row>
    <row r="754" spans="1:13" ht="18" x14ac:dyDescent="0.2">
      <c r="A754" s="17">
        <v>1640</v>
      </c>
      <c r="B754" s="17">
        <v>20</v>
      </c>
      <c r="C754" s="17" t="s">
        <v>183</v>
      </c>
      <c r="D754" s="17" t="s">
        <v>793</v>
      </c>
      <c r="E754" s="17" t="s">
        <v>792</v>
      </c>
      <c r="F754" s="17">
        <v>436</v>
      </c>
      <c r="G754" s="17">
        <v>7.7</v>
      </c>
      <c r="H754" s="17" t="str">
        <f>INDEX(Employees!$B$2:$B$17,MATCH(B754,Employees!$A$2:$A$17,0))</f>
        <v>Taylor</v>
      </c>
      <c r="I754" s="17" t="str">
        <f>INDEX(Employees!$C$2:$C$17,MATCH(B754,Employees!$A$2:$A$17,0))</f>
        <v>Picker</v>
      </c>
      <c r="J754" s="25">
        <f t="shared" si="22"/>
        <v>56.623376623376622</v>
      </c>
      <c r="K754" s="19">
        <f>IF(J754=0,0,J754/INDEX('Labor Dashboard'!$C$36:$C$39,MATCH(E754,'Labor Dashboard'!$B$36:$B$39,0)))</f>
        <v>1.0295159386068478</v>
      </c>
      <c r="L754" s="18">
        <f t="shared" si="23"/>
        <v>11</v>
      </c>
      <c r="M754" s="20">
        <f>G754*INDEX(Employees!$E$2:$E$17,MATCH(B754,Employees!$A$2:$A$17,0))</f>
        <v>130.9</v>
      </c>
    </row>
    <row r="755" spans="1:13" ht="18" x14ac:dyDescent="0.2">
      <c r="A755" s="17">
        <v>1641</v>
      </c>
      <c r="B755" s="17">
        <v>21</v>
      </c>
      <c r="C755" s="17" t="s">
        <v>183</v>
      </c>
      <c r="D755" s="17" t="s">
        <v>793</v>
      </c>
      <c r="E755" s="17" t="s">
        <v>794</v>
      </c>
      <c r="F755" s="17">
        <v>247</v>
      </c>
      <c r="G755" s="17">
        <v>6.7</v>
      </c>
      <c r="H755" s="17" t="str">
        <f>INDEX(Employees!$B$2:$B$17,MATCH(B755,Employees!$A$2:$A$17,0))</f>
        <v>Riley</v>
      </c>
      <c r="I755" s="17" t="str">
        <f>INDEX(Employees!$C$2:$C$17,MATCH(B755,Employees!$A$2:$A$17,0))</f>
        <v>Packer</v>
      </c>
      <c r="J755" s="25">
        <f t="shared" si="22"/>
        <v>36.865671641791046</v>
      </c>
      <c r="K755" s="19">
        <f>IF(J755=0,0,J755/INDEX('Labor Dashboard'!$C$36:$C$39,MATCH(E755,'Labor Dashboard'!$B$36:$B$39,0)))</f>
        <v>0.8192371475953566</v>
      </c>
      <c r="L755" s="18">
        <f t="shared" si="23"/>
        <v>11</v>
      </c>
      <c r="M755" s="20">
        <f>G755*INDEX(Employees!$E$2:$E$17,MATCH(B755,Employees!$A$2:$A$17,0))</f>
        <v>113.9</v>
      </c>
    </row>
    <row r="756" spans="1:13" ht="18" x14ac:dyDescent="0.2">
      <c r="A756" s="17">
        <v>1642</v>
      </c>
      <c r="B756" s="17">
        <v>23</v>
      </c>
      <c r="C756" s="17" t="s">
        <v>183</v>
      </c>
      <c r="D756" s="17" t="s">
        <v>793</v>
      </c>
      <c r="E756" s="17" t="s">
        <v>794</v>
      </c>
      <c r="F756" s="17">
        <v>373</v>
      </c>
      <c r="G756" s="17">
        <v>7.7</v>
      </c>
      <c r="H756" s="17" t="str">
        <f>INDEX(Employees!$B$2:$B$17,MATCH(B756,Employees!$A$2:$A$17,0))</f>
        <v>Cameron</v>
      </c>
      <c r="I756" s="17" t="str">
        <f>INDEX(Employees!$C$2:$C$17,MATCH(B756,Employees!$A$2:$A$17,0))</f>
        <v>Packer</v>
      </c>
      <c r="J756" s="25">
        <f t="shared" si="22"/>
        <v>48.441558441558442</v>
      </c>
      <c r="K756" s="19">
        <f>IF(J756=0,0,J756/INDEX('Labor Dashboard'!$C$36:$C$39,MATCH(E756,'Labor Dashboard'!$B$36:$B$39,0)))</f>
        <v>1.0764790764790766</v>
      </c>
      <c r="L756" s="18">
        <f t="shared" si="23"/>
        <v>11</v>
      </c>
      <c r="M756" s="20">
        <f>G756*INDEX(Employees!$E$2:$E$17,MATCH(B756,Employees!$A$2:$A$17,0))</f>
        <v>130.9</v>
      </c>
    </row>
    <row r="757" spans="1:13" ht="18" x14ac:dyDescent="0.2">
      <c r="A757" s="17">
        <v>1643</v>
      </c>
      <c r="B757" s="17">
        <v>24</v>
      </c>
      <c r="C757" s="17" t="s">
        <v>183</v>
      </c>
      <c r="D757" s="17" t="s">
        <v>793</v>
      </c>
      <c r="E757" s="17" t="s">
        <v>795</v>
      </c>
      <c r="F757" s="17">
        <v>186</v>
      </c>
      <c r="G757" s="17">
        <v>6.6</v>
      </c>
      <c r="H757" s="17" t="str">
        <f>INDEX(Employees!$B$2:$B$17,MATCH(B757,Employees!$A$2:$A$17,0))</f>
        <v>Dakota</v>
      </c>
      <c r="I757" s="17" t="str">
        <f>INDEX(Employees!$C$2:$C$17,MATCH(B757,Employees!$A$2:$A$17,0))</f>
        <v>Forklift Operator</v>
      </c>
      <c r="J757" s="25">
        <f t="shared" si="22"/>
        <v>28.181818181818183</v>
      </c>
      <c r="K757" s="19">
        <f>IF(J757=0,0,J757/INDEX('Labor Dashboard'!$C$36:$C$39,MATCH(E757,'Labor Dashboard'!$B$36:$B$39,0)))</f>
        <v>0.93939393939393945</v>
      </c>
      <c r="L757" s="18">
        <f t="shared" si="23"/>
        <v>11</v>
      </c>
      <c r="M757" s="20">
        <f>G757*INDEX(Employees!$E$2:$E$17,MATCH(B757,Employees!$A$2:$A$17,0))</f>
        <v>128.69999999999999</v>
      </c>
    </row>
    <row r="758" spans="1:13" ht="18" x14ac:dyDescent="0.2">
      <c r="A758" s="17">
        <v>1644</v>
      </c>
      <c r="B758" s="17">
        <v>25</v>
      </c>
      <c r="C758" s="17" t="s">
        <v>183</v>
      </c>
      <c r="D758" s="17" t="s">
        <v>793</v>
      </c>
      <c r="E758" s="17" t="s">
        <v>795</v>
      </c>
      <c r="F758" s="17">
        <v>224</v>
      </c>
      <c r="G758" s="17">
        <v>8.1999999999999993</v>
      </c>
      <c r="H758" s="17" t="str">
        <f>INDEX(Employees!$B$2:$B$17,MATCH(B758,Employees!$A$2:$A$17,0))</f>
        <v>Hayden</v>
      </c>
      <c r="I758" s="17" t="str">
        <f>INDEX(Employees!$C$2:$C$17,MATCH(B758,Employees!$A$2:$A$17,0))</f>
        <v>Forklift Operator</v>
      </c>
      <c r="J758" s="25">
        <f t="shared" si="22"/>
        <v>27.31707317073171</v>
      </c>
      <c r="K758" s="19">
        <f>IF(J758=0,0,J758/INDEX('Labor Dashboard'!$C$36:$C$39,MATCH(E758,'Labor Dashboard'!$B$36:$B$39,0)))</f>
        <v>0.91056910569105698</v>
      </c>
      <c r="L758" s="18">
        <f t="shared" si="23"/>
        <v>11</v>
      </c>
      <c r="M758" s="20">
        <f>G758*INDEX(Employees!$E$2:$E$17,MATCH(B758,Employees!$A$2:$A$17,0))</f>
        <v>159.89999999999998</v>
      </c>
    </row>
    <row r="759" spans="1:13" ht="18" x14ac:dyDescent="0.2">
      <c r="A759" s="17">
        <v>1645</v>
      </c>
      <c r="B759" s="17">
        <v>26</v>
      </c>
      <c r="C759" s="17" t="s">
        <v>183</v>
      </c>
      <c r="D759" s="17" t="s">
        <v>793</v>
      </c>
      <c r="E759" s="17" t="s">
        <v>795</v>
      </c>
      <c r="F759" s="17">
        <v>191</v>
      </c>
      <c r="G759" s="17">
        <v>7.7</v>
      </c>
      <c r="H759" s="17" t="str">
        <f>INDEX(Employees!$B$2:$B$17,MATCH(B759,Employees!$A$2:$A$17,0))</f>
        <v>Reese</v>
      </c>
      <c r="I759" s="17" t="str">
        <f>INDEX(Employees!$C$2:$C$17,MATCH(B759,Employees!$A$2:$A$17,0))</f>
        <v>Receiving Clerk</v>
      </c>
      <c r="J759" s="25">
        <f t="shared" si="22"/>
        <v>24.805194805194805</v>
      </c>
      <c r="K759" s="19">
        <f>IF(J759=0,0,J759/INDEX('Labor Dashboard'!$C$36:$C$39,MATCH(E759,'Labor Dashboard'!$B$36:$B$39,0)))</f>
        <v>0.82683982683982682</v>
      </c>
      <c r="L759" s="18">
        <f t="shared" si="23"/>
        <v>11</v>
      </c>
      <c r="M759" s="20">
        <f>G759*INDEX(Employees!$E$2:$E$17,MATCH(B759,Employees!$A$2:$A$17,0))</f>
        <v>138.6</v>
      </c>
    </row>
    <row r="760" spans="1:13" ht="18" x14ac:dyDescent="0.2">
      <c r="A760" s="17">
        <v>1646</v>
      </c>
      <c r="B760" s="17">
        <v>27</v>
      </c>
      <c r="C760" s="17" t="s">
        <v>183</v>
      </c>
      <c r="D760" s="17" t="s">
        <v>793</v>
      </c>
      <c r="E760" s="17" t="s">
        <v>795</v>
      </c>
      <c r="F760" s="17">
        <v>162</v>
      </c>
      <c r="G760" s="17">
        <v>7</v>
      </c>
      <c r="H760" s="17" t="str">
        <f>INDEX(Employees!$B$2:$B$17,MATCH(B760,Employees!$A$2:$A$17,0))</f>
        <v>Skyler</v>
      </c>
      <c r="I760" s="17" t="str">
        <f>INDEX(Employees!$C$2:$C$17,MATCH(B760,Employees!$A$2:$A$17,0))</f>
        <v>Receiving Clerk</v>
      </c>
      <c r="J760" s="25">
        <f t="shared" si="22"/>
        <v>23.142857142857142</v>
      </c>
      <c r="K760" s="19">
        <f>IF(J760=0,0,J760/INDEX('Labor Dashboard'!$C$36:$C$39,MATCH(E760,'Labor Dashboard'!$B$36:$B$39,0)))</f>
        <v>0.77142857142857146</v>
      </c>
      <c r="L760" s="18">
        <f t="shared" si="23"/>
        <v>11</v>
      </c>
      <c r="M760" s="20">
        <f>G760*INDEX(Employees!$E$2:$E$17,MATCH(B760,Employees!$A$2:$A$17,0))</f>
        <v>126</v>
      </c>
    </row>
    <row r="761" spans="1:13" ht="18" x14ac:dyDescent="0.2">
      <c r="A761" s="17">
        <v>1647</v>
      </c>
      <c r="B761" s="17">
        <v>28</v>
      </c>
      <c r="C761" s="17" t="s">
        <v>183</v>
      </c>
      <c r="D761" s="17" t="s">
        <v>791</v>
      </c>
      <c r="E761" s="17" t="s">
        <v>796</v>
      </c>
      <c r="F761" s="17">
        <v>184</v>
      </c>
      <c r="G761" s="17">
        <v>7.7</v>
      </c>
      <c r="H761" s="17" t="str">
        <f>INDEX(Employees!$B$2:$B$17,MATCH(B761,Employees!$A$2:$A$17,0))</f>
        <v>Peyton</v>
      </c>
      <c r="I761" s="17" t="str">
        <f>INDEX(Employees!$C$2:$C$17,MATCH(B761,Employees!$A$2:$A$17,0))</f>
        <v>Cycle Counter</v>
      </c>
      <c r="J761" s="25">
        <f t="shared" si="22"/>
        <v>23.896103896103895</v>
      </c>
      <c r="K761" s="19">
        <f>IF(J761=0,0,J761/INDEX('Labor Dashboard'!$C$36:$C$39,MATCH(E761,'Labor Dashboard'!$B$36:$B$39,0)))</f>
        <v>0.95584415584415583</v>
      </c>
      <c r="L761" s="18">
        <f t="shared" si="23"/>
        <v>11</v>
      </c>
      <c r="M761" s="20">
        <f>G761*INDEX(Employees!$E$2:$E$17,MATCH(B761,Employees!$A$2:$A$17,0))</f>
        <v>138.6</v>
      </c>
    </row>
    <row r="762" spans="1:13" ht="18" x14ac:dyDescent="0.2">
      <c r="A762" s="17">
        <v>1648</v>
      </c>
      <c r="B762" s="17">
        <v>29</v>
      </c>
      <c r="C762" s="17" t="s">
        <v>183</v>
      </c>
      <c r="D762" s="17" t="s">
        <v>793</v>
      </c>
      <c r="E762" s="17" t="s">
        <v>796</v>
      </c>
      <c r="F762" s="17">
        <v>219</v>
      </c>
      <c r="G762" s="17">
        <v>8</v>
      </c>
      <c r="H762" s="17" t="str">
        <f>INDEX(Employees!$B$2:$B$17,MATCH(B762,Employees!$A$2:$A$17,0))</f>
        <v>Rowan</v>
      </c>
      <c r="I762" s="17" t="str">
        <f>INDEX(Employees!$C$2:$C$17,MATCH(B762,Employees!$A$2:$A$17,0))</f>
        <v>Cycle Counter</v>
      </c>
      <c r="J762" s="25">
        <f t="shared" si="22"/>
        <v>27.375</v>
      </c>
      <c r="K762" s="19">
        <f>IF(J762=0,0,J762/INDEX('Labor Dashboard'!$C$36:$C$39,MATCH(E762,'Labor Dashboard'!$B$36:$B$39,0)))</f>
        <v>1.095</v>
      </c>
      <c r="L762" s="18">
        <f t="shared" si="23"/>
        <v>11</v>
      </c>
      <c r="M762" s="20">
        <f>G762*INDEX(Employees!$E$2:$E$17,MATCH(B762,Employees!$A$2:$A$17,0))</f>
        <v>144</v>
      </c>
    </row>
    <row r="763" spans="1:13" ht="18" x14ac:dyDescent="0.2">
      <c r="A763" s="17">
        <v>1649</v>
      </c>
      <c r="B763" s="17">
        <v>30</v>
      </c>
      <c r="C763" s="17" t="s">
        <v>183</v>
      </c>
      <c r="D763" s="17" t="s">
        <v>791</v>
      </c>
      <c r="E763" s="17" t="s">
        <v>796</v>
      </c>
      <c r="F763" s="17">
        <v>174</v>
      </c>
      <c r="G763" s="17">
        <v>8.3000000000000007</v>
      </c>
      <c r="H763" s="17" t="str">
        <f>INDEX(Employees!$B$2:$B$17,MATCH(B763,Employees!$A$2:$A$17,0))</f>
        <v>Emerson</v>
      </c>
      <c r="I763" s="17" t="str">
        <f>INDEX(Employees!$C$2:$C$17,MATCH(B763,Employees!$A$2:$A$17,0))</f>
        <v>Shift Supervisor</v>
      </c>
      <c r="J763" s="25">
        <f t="shared" si="22"/>
        <v>20.963855421686745</v>
      </c>
      <c r="K763" s="19">
        <f>IF(J763=0,0,J763/INDEX('Labor Dashboard'!$C$36:$C$39,MATCH(E763,'Labor Dashboard'!$B$36:$B$39,0)))</f>
        <v>0.83855421686746978</v>
      </c>
      <c r="L763" s="18">
        <f t="shared" si="23"/>
        <v>11</v>
      </c>
      <c r="M763" s="20">
        <f>G763*INDEX(Employees!$E$2:$E$17,MATCH(B763,Employees!$A$2:$A$17,0))</f>
        <v>199.20000000000002</v>
      </c>
    </row>
    <row r="764" spans="1:13" ht="18" x14ac:dyDescent="0.2">
      <c r="A764" s="17">
        <v>1650</v>
      </c>
      <c r="B764" s="17">
        <v>31</v>
      </c>
      <c r="C764" s="17" t="s">
        <v>183</v>
      </c>
      <c r="D764" s="17" t="s">
        <v>791</v>
      </c>
      <c r="E764" s="17" t="s">
        <v>795</v>
      </c>
      <c r="F764" s="17">
        <v>241</v>
      </c>
      <c r="G764" s="17">
        <v>6.7</v>
      </c>
      <c r="H764" s="17" t="str">
        <f>INDEX(Employees!$B$2:$B$17,MATCH(B764,Employees!$A$2:$A$17,0))</f>
        <v>Finley</v>
      </c>
      <c r="I764" s="17" t="str">
        <f>INDEX(Employees!$C$2:$C$17,MATCH(B764,Employees!$A$2:$A$17,0))</f>
        <v>Shift Supervisor</v>
      </c>
      <c r="J764" s="25">
        <f t="shared" si="22"/>
        <v>35.970149253731343</v>
      </c>
      <c r="K764" s="19">
        <f>IF(J764=0,0,J764/INDEX('Labor Dashboard'!$C$36:$C$39,MATCH(E764,'Labor Dashboard'!$B$36:$B$39,0)))</f>
        <v>1.1990049751243781</v>
      </c>
      <c r="L764" s="18">
        <f t="shared" si="23"/>
        <v>11</v>
      </c>
      <c r="M764" s="20">
        <f>G764*INDEX(Employees!$E$2:$E$17,MATCH(B764,Employees!$A$2:$A$17,0))</f>
        <v>160.80000000000001</v>
      </c>
    </row>
    <row r="765" spans="1:13" ht="18" x14ac:dyDescent="0.2">
      <c r="A765" s="17">
        <v>1651</v>
      </c>
      <c r="B765" s="17">
        <v>32</v>
      </c>
      <c r="C765" s="17" t="s">
        <v>183</v>
      </c>
      <c r="D765" s="17" t="s">
        <v>791</v>
      </c>
      <c r="E765" s="17" t="s">
        <v>792</v>
      </c>
      <c r="F765" s="17">
        <v>347</v>
      </c>
      <c r="G765" s="17">
        <v>7</v>
      </c>
      <c r="H765" s="17" t="str">
        <f>INDEX(Employees!$B$2:$B$17,MATCH(B765,Employees!$A$2:$A$17,0))</f>
        <v>Sawyer</v>
      </c>
      <c r="I765" s="17" t="str">
        <f>INDEX(Employees!$C$2:$C$17,MATCH(B765,Employees!$A$2:$A$17,0))</f>
        <v>Shift Supervisor</v>
      </c>
      <c r="J765" s="25">
        <f t="shared" si="22"/>
        <v>49.571428571428569</v>
      </c>
      <c r="K765" s="19">
        <f>IF(J765=0,0,J765/INDEX('Labor Dashboard'!$C$36:$C$39,MATCH(E765,'Labor Dashboard'!$B$36:$B$39,0)))</f>
        <v>0.90129870129870127</v>
      </c>
      <c r="L765" s="18">
        <f t="shared" si="23"/>
        <v>11</v>
      </c>
      <c r="M765" s="20">
        <f>G765*INDEX(Employees!$E$2:$E$17,MATCH(B765,Employees!$A$2:$A$17,0))</f>
        <v>168</v>
      </c>
    </row>
    <row r="766" spans="1:13" ht="18" x14ac:dyDescent="0.2">
      <c r="A766" s="17">
        <v>1652</v>
      </c>
      <c r="B766" s="17">
        <v>17</v>
      </c>
      <c r="C766" s="17" t="s">
        <v>564</v>
      </c>
      <c r="D766" s="17" t="s">
        <v>793</v>
      </c>
      <c r="E766" s="17" t="s">
        <v>792</v>
      </c>
      <c r="F766" s="17">
        <v>330</v>
      </c>
      <c r="G766" s="17">
        <v>7.3</v>
      </c>
      <c r="H766" s="17" t="str">
        <f>INDEX(Employees!$B$2:$B$17,MATCH(B766,Employees!$A$2:$A$17,0))</f>
        <v>Jordan</v>
      </c>
      <c r="I766" s="17" t="str">
        <f>INDEX(Employees!$C$2:$C$17,MATCH(B766,Employees!$A$2:$A$17,0))</f>
        <v>Picker</v>
      </c>
      <c r="J766" s="25">
        <f t="shared" si="22"/>
        <v>45.205479452054796</v>
      </c>
      <c r="K766" s="19">
        <f>IF(J766=0,0,J766/INDEX('Labor Dashboard'!$C$36:$C$39,MATCH(E766,'Labor Dashboard'!$B$36:$B$39,0)))</f>
        <v>0.82191780821917815</v>
      </c>
      <c r="L766" s="18">
        <f t="shared" si="23"/>
        <v>11</v>
      </c>
      <c r="M766" s="20">
        <f>G766*INDEX(Employees!$E$2:$E$17,MATCH(B766,Employees!$A$2:$A$17,0))</f>
        <v>124.1</v>
      </c>
    </row>
    <row r="767" spans="1:13" ht="18" x14ac:dyDescent="0.2">
      <c r="A767" s="17">
        <v>1653</v>
      </c>
      <c r="B767" s="17">
        <v>18</v>
      </c>
      <c r="C767" s="17" t="s">
        <v>564</v>
      </c>
      <c r="D767" s="17" t="s">
        <v>793</v>
      </c>
      <c r="E767" s="17" t="s">
        <v>792</v>
      </c>
      <c r="F767" s="17">
        <v>487</v>
      </c>
      <c r="G767" s="17">
        <v>8.4</v>
      </c>
      <c r="H767" s="17" t="str">
        <f>INDEX(Employees!$B$2:$B$17,MATCH(B767,Employees!$A$2:$A$17,0))</f>
        <v>Casey</v>
      </c>
      <c r="I767" s="17" t="str">
        <f>INDEX(Employees!$C$2:$C$17,MATCH(B767,Employees!$A$2:$A$17,0))</f>
        <v>Picker</v>
      </c>
      <c r="J767" s="25">
        <f t="shared" si="22"/>
        <v>57.976190476190474</v>
      </c>
      <c r="K767" s="19">
        <f>IF(J767=0,0,J767/INDEX('Labor Dashboard'!$C$36:$C$39,MATCH(E767,'Labor Dashboard'!$B$36:$B$39,0)))</f>
        <v>1.054112554112554</v>
      </c>
      <c r="L767" s="18">
        <f t="shared" si="23"/>
        <v>11</v>
      </c>
      <c r="M767" s="20">
        <f>G767*INDEX(Employees!$E$2:$E$17,MATCH(B767,Employees!$A$2:$A$17,0))</f>
        <v>142.80000000000001</v>
      </c>
    </row>
    <row r="768" spans="1:13" ht="18" x14ac:dyDescent="0.2">
      <c r="A768" s="17">
        <v>1654</v>
      </c>
      <c r="B768" s="17">
        <v>19</v>
      </c>
      <c r="C768" s="17" t="s">
        <v>564</v>
      </c>
      <c r="D768" s="17" t="s">
        <v>793</v>
      </c>
      <c r="E768" s="17" t="s">
        <v>792</v>
      </c>
      <c r="F768" s="17">
        <v>430</v>
      </c>
      <c r="G768" s="17">
        <v>7.8</v>
      </c>
      <c r="H768" s="17" t="str">
        <f>INDEX(Employees!$B$2:$B$17,MATCH(B768,Employees!$A$2:$A$17,0))</f>
        <v>Morgan</v>
      </c>
      <c r="I768" s="17" t="str">
        <f>INDEX(Employees!$C$2:$C$17,MATCH(B768,Employees!$A$2:$A$17,0))</f>
        <v>Picker</v>
      </c>
      <c r="J768" s="25">
        <f t="shared" si="22"/>
        <v>55.128205128205131</v>
      </c>
      <c r="K768" s="19">
        <f>IF(J768=0,0,J768/INDEX('Labor Dashboard'!$C$36:$C$39,MATCH(E768,'Labor Dashboard'!$B$36:$B$39,0)))</f>
        <v>1.0023310023310024</v>
      </c>
      <c r="L768" s="18">
        <f t="shared" si="23"/>
        <v>11</v>
      </c>
      <c r="M768" s="20">
        <f>G768*INDEX(Employees!$E$2:$E$17,MATCH(B768,Employees!$A$2:$A$17,0))</f>
        <v>132.6</v>
      </c>
    </row>
    <row r="769" spans="1:13" ht="18" x14ac:dyDescent="0.2">
      <c r="A769" s="17">
        <v>1655</v>
      </c>
      <c r="B769" s="17">
        <v>20</v>
      </c>
      <c r="C769" s="17" t="s">
        <v>564</v>
      </c>
      <c r="D769" s="17" t="s">
        <v>793</v>
      </c>
      <c r="E769" s="17" t="s">
        <v>792</v>
      </c>
      <c r="F769" s="17">
        <v>412</v>
      </c>
      <c r="G769" s="17">
        <v>8.3000000000000007</v>
      </c>
      <c r="H769" s="17" t="str">
        <f>INDEX(Employees!$B$2:$B$17,MATCH(B769,Employees!$A$2:$A$17,0))</f>
        <v>Taylor</v>
      </c>
      <c r="I769" s="17" t="str">
        <f>INDEX(Employees!$C$2:$C$17,MATCH(B769,Employees!$A$2:$A$17,0))</f>
        <v>Picker</v>
      </c>
      <c r="J769" s="25">
        <f t="shared" si="22"/>
        <v>49.638554216867469</v>
      </c>
      <c r="K769" s="19">
        <f>IF(J769=0,0,J769/INDEX('Labor Dashboard'!$C$36:$C$39,MATCH(E769,'Labor Dashboard'!$B$36:$B$39,0)))</f>
        <v>0.90251916757940853</v>
      </c>
      <c r="L769" s="18">
        <f t="shared" si="23"/>
        <v>11</v>
      </c>
      <c r="M769" s="20">
        <f>G769*INDEX(Employees!$E$2:$E$17,MATCH(B769,Employees!$A$2:$A$17,0))</f>
        <v>141.10000000000002</v>
      </c>
    </row>
    <row r="770" spans="1:13" ht="18" x14ac:dyDescent="0.2">
      <c r="A770" s="17">
        <v>1656</v>
      </c>
      <c r="B770" s="17">
        <v>21</v>
      </c>
      <c r="C770" s="17" t="s">
        <v>564</v>
      </c>
      <c r="D770" s="17" t="s">
        <v>791</v>
      </c>
      <c r="E770" s="17" t="s">
        <v>794</v>
      </c>
      <c r="F770" s="17">
        <v>280</v>
      </c>
      <c r="G770" s="17">
        <v>6.9</v>
      </c>
      <c r="H770" s="17" t="str">
        <f>INDEX(Employees!$B$2:$B$17,MATCH(B770,Employees!$A$2:$A$17,0))</f>
        <v>Riley</v>
      </c>
      <c r="I770" s="17" t="str">
        <f>INDEX(Employees!$C$2:$C$17,MATCH(B770,Employees!$A$2:$A$17,0))</f>
        <v>Packer</v>
      </c>
      <c r="J770" s="25">
        <f t="shared" ref="J770:J833" si="24">IF(G770=0,0,F770/G770)</f>
        <v>40.579710144927532</v>
      </c>
      <c r="K770" s="19">
        <f>IF(J770=0,0,J770/INDEX('Labor Dashboard'!$C$36:$C$39,MATCH(E770,'Labor Dashboard'!$B$36:$B$39,0)))</f>
        <v>0.90177133655394515</v>
      </c>
      <c r="L770" s="18">
        <f t="shared" ref="L770:L833" si="25">INT((DATEVALUE(C770)-DATE(2026,4,6))/7)</f>
        <v>11</v>
      </c>
      <c r="M770" s="20">
        <f>G770*INDEX(Employees!$E$2:$E$17,MATCH(B770,Employees!$A$2:$A$17,0))</f>
        <v>117.30000000000001</v>
      </c>
    </row>
    <row r="771" spans="1:13" ht="18" x14ac:dyDescent="0.2">
      <c r="A771" s="17">
        <v>1657</v>
      </c>
      <c r="B771" s="17">
        <v>22</v>
      </c>
      <c r="C771" s="17" t="s">
        <v>564</v>
      </c>
      <c r="D771" s="17" t="s">
        <v>793</v>
      </c>
      <c r="E771" s="17" t="s">
        <v>794</v>
      </c>
      <c r="F771" s="17">
        <v>420</v>
      </c>
      <c r="G771" s="17">
        <v>8.3000000000000007</v>
      </c>
      <c r="H771" s="17" t="str">
        <f>INDEX(Employees!$B$2:$B$17,MATCH(B771,Employees!$A$2:$A$17,0))</f>
        <v>Avery</v>
      </c>
      <c r="I771" s="17" t="str">
        <f>INDEX(Employees!$C$2:$C$17,MATCH(B771,Employees!$A$2:$A$17,0))</f>
        <v>Packer</v>
      </c>
      <c r="J771" s="25">
        <f t="shared" si="24"/>
        <v>50.602409638554214</v>
      </c>
      <c r="K771" s="19">
        <f>IF(J771=0,0,J771/INDEX('Labor Dashboard'!$C$36:$C$39,MATCH(E771,'Labor Dashboard'!$B$36:$B$39,0)))</f>
        <v>1.1244979919678715</v>
      </c>
      <c r="L771" s="18">
        <f t="shared" si="25"/>
        <v>11</v>
      </c>
      <c r="M771" s="20">
        <f>G771*INDEX(Employees!$E$2:$E$17,MATCH(B771,Employees!$A$2:$A$17,0))</f>
        <v>141.10000000000002</v>
      </c>
    </row>
    <row r="772" spans="1:13" ht="18" x14ac:dyDescent="0.2">
      <c r="A772" s="17">
        <v>1658</v>
      </c>
      <c r="B772" s="17">
        <v>23</v>
      </c>
      <c r="C772" s="17" t="s">
        <v>564</v>
      </c>
      <c r="D772" s="17" t="s">
        <v>793</v>
      </c>
      <c r="E772" s="17" t="s">
        <v>794</v>
      </c>
      <c r="F772" s="17">
        <v>321</v>
      </c>
      <c r="G772" s="17">
        <v>7.1</v>
      </c>
      <c r="H772" s="17" t="str">
        <f>INDEX(Employees!$B$2:$B$17,MATCH(B772,Employees!$A$2:$A$17,0))</f>
        <v>Cameron</v>
      </c>
      <c r="I772" s="17" t="str">
        <f>INDEX(Employees!$C$2:$C$17,MATCH(B772,Employees!$A$2:$A$17,0))</f>
        <v>Packer</v>
      </c>
      <c r="J772" s="25">
        <f t="shared" si="24"/>
        <v>45.211267605633807</v>
      </c>
      <c r="K772" s="19">
        <f>IF(J772=0,0,J772/INDEX('Labor Dashboard'!$C$36:$C$39,MATCH(E772,'Labor Dashboard'!$B$36:$B$39,0)))</f>
        <v>1.0046948356807512</v>
      </c>
      <c r="L772" s="18">
        <f t="shared" si="25"/>
        <v>11</v>
      </c>
      <c r="M772" s="20">
        <f>G772*INDEX(Employees!$E$2:$E$17,MATCH(B772,Employees!$A$2:$A$17,0))</f>
        <v>120.69999999999999</v>
      </c>
    </row>
    <row r="773" spans="1:13" ht="18" x14ac:dyDescent="0.2">
      <c r="A773" s="17">
        <v>1659</v>
      </c>
      <c r="B773" s="17">
        <v>24</v>
      </c>
      <c r="C773" s="17" t="s">
        <v>564</v>
      </c>
      <c r="D773" s="17" t="s">
        <v>791</v>
      </c>
      <c r="E773" s="17" t="s">
        <v>795</v>
      </c>
      <c r="F773" s="17">
        <v>238</v>
      </c>
      <c r="G773" s="17">
        <v>7.4</v>
      </c>
      <c r="H773" s="17" t="str">
        <f>INDEX(Employees!$B$2:$B$17,MATCH(B773,Employees!$A$2:$A$17,0))</f>
        <v>Dakota</v>
      </c>
      <c r="I773" s="17" t="str">
        <f>INDEX(Employees!$C$2:$C$17,MATCH(B773,Employees!$A$2:$A$17,0))</f>
        <v>Forklift Operator</v>
      </c>
      <c r="J773" s="25">
        <f t="shared" si="24"/>
        <v>32.162162162162161</v>
      </c>
      <c r="K773" s="19">
        <f>IF(J773=0,0,J773/INDEX('Labor Dashboard'!$C$36:$C$39,MATCH(E773,'Labor Dashboard'!$B$36:$B$39,0)))</f>
        <v>1.072072072072072</v>
      </c>
      <c r="L773" s="18">
        <f t="shared" si="25"/>
        <v>11</v>
      </c>
      <c r="M773" s="20">
        <f>G773*INDEX(Employees!$E$2:$E$17,MATCH(B773,Employees!$A$2:$A$17,0))</f>
        <v>144.30000000000001</v>
      </c>
    </row>
    <row r="774" spans="1:13" ht="18" x14ac:dyDescent="0.2">
      <c r="A774" s="17">
        <v>1660</v>
      </c>
      <c r="B774" s="17">
        <v>25</v>
      </c>
      <c r="C774" s="17" t="s">
        <v>564</v>
      </c>
      <c r="D774" s="17" t="s">
        <v>793</v>
      </c>
      <c r="E774" s="17" t="s">
        <v>792</v>
      </c>
      <c r="F774" s="17">
        <v>449</v>
      </c>
      <c r="G774" s="17">
        <v>7.8</v>
      </c>
      <c r="H774" s="17" t="str">
        <f>INDEX(Employees!$B$2:$B$17,MATCH(B774,Employees!$A$2:$A$17,0))</f>
        <v>Hayden</v>
      </c>
      <c r="I774" s="17" t="str">
        <f>INDEX(Employees!$C$2:$C$17,MATCH(B774,Employees!$A$2:$A$17,0))</f>
        <v>Forklift Operator</v>
      </c>
      <c r="J774" s="25">
        <f t="shared" si="24"/>
        <v>57.564102564102562</v>
      </c>
      <c r="K774" s="19">
        <f>IF(J774=0,0,J774/INDEX('Labor Dashboard'!$C$36:$C$39,MATCH(E774,'Labor Dashboard'!$B$36:$B$39,0)))</f>
        <v>1.0466200466200466</v>
      </c>
      <c r="L774" s="18">
        <f t="shared" si="25"/>
        <v>11</v>
      </c>
      <c r="M774" s="20">
        <f>G774*INDEX(Employees!$E$2:$E$17,MATCH(B774,Employees!$A$2:$A$17,0))</f>
        <v>152.1</v>
      </c>
    </row>
    <row r="775" spans="1:13" ht="18" x14ac:dyDescent="0.2">
      <c r="A775" s="17">
        <v>1661</v>
      </c>
      <c r="B775" s="17">
        <v>26</v>
      </c>
      <c r="C775" s="17" t="s">
        <v>564</v>
      </c>
      <c r="D775" s="17" t="s">
        <v>791</v>
      </c>
      <c r="E775" s="17" t="s">
        <v>795</v>
      </c>
      <c r="F775" s="17">
        <v>206</v>
      </c>
      <c r="G775" s="17">
        <v>7.2</v>
      </c>
      <c r="H775" s="17" t="str">
        <f>INDEX(Employees!$B$2:$B$17,MATCH(B775,Employees!$A$2:$A$17,0))</f>
        <v>Reese</v>
      </c>
      <c r="I775" s="17" t="str">
        <f>INDEX(Employees!$C$2:$C$17,MATCH(B775,Employees!$A$2:$A$17,0))</f>
        <v>Receiving Clerk</v>
      </c>
      <c r="J775" s="25">
        <f t="shared" si="24"/>
        <v>28.611111111111111</v>
      </c>
      <c r="K775" s="19">
        <f>IF(J775=0,0,J775/INDEX('Labor Dashboard'!$C$36:$C$39,MATCH(E775,'Labor Dashboard'!$B$36:$B$39,0)))</f>
        <v>0.95370370370370372</v>
      </c>
      <c r="L775" s="18">
        <f t="shared" si="25"/>
        <v>11</v>
      </c>
      <c r="M775" s="20">
        <f>G775*INDEX(Employees!$E$2:$E$17,MATCH(B775,Employees!$A$2:$A$17,0))</f>
        <v>129.6</v>
      </c>
    </row>
    <row r="776" spans="1:13" ht="18" x14ac:dyDescent="0.2">
      <c r="A776" s="17">
        <v>1662</v>
      </c>
      <c r="B776" s="17">
        <v>27</v>
      </c>
      <c r="C776" s="17" t="s">
        <v>564</v>
      </c>
      <c r="D776" s="17" t="s">
        <v>793</v>
      </c>
      <c r="E776" s="17" t="s">
        <v>795</v>
      </c>
      <c r="F776" s="17">
        <v>205</v>
      </c>
      <c r="G776" s="17">
        <v>7.7</v>
      </c>
      <c r="H776" s="17" t="str">
        <f>INDEX(Employees!$B$2:$B$17,MATCH(B776,Employees!$A$2:$A$17,0))</f>
        <v>Skyler</v>
      </c>
      <c r="I776" s="17" t="str">
        <f>INDEX(Employees!$C$2:$C$17,MATCH(B776,Employees!$A$2:$A$17,0))</f>
        <v>Receiving Clerk</v>
      </c>
      <c r="J776" s="25">
        <f t="shared" si="24"/>
        <v>26.623376623376622</v>
      </c>
      <c r="K776" s="19">
        <f>IF(J776=0,0,J776/INDEX('Labor Dashboard'!$C$36:$C$39,MATCH(E776,'Labor Dashboard'!$B$36:$B$39,0)))</f>
        <v>0.88744588744588737</v>
      </c>
      <c r="L776" s="18">
        <f t="shared" si="25"/>
        <v>11</v>
      </c>
      <c r="M776" s="20">
        <f>G776*INDEX(Employees!$E$2:$E$17,MATCH(B776,Employees!$A$2:$A$17,0))</f>
        <v>138.6</v>
      </c>
    </row>
    <row r="777" spans="1:13" ht="18" x14ac:dyDescent="0.2">
      <c r="A777" s="17">
        <v>1663</v>
      </c>
      <c r="B777" s="17">
        <v>28</v>
      </c>
      <c r="C777" s="17" t="s">
        <v>564</v>
      </c>
      <c r="D777" s="17" t="s">
        <v>793</v>
      </c>
      <c r="E777" s="17" t="s">
        <v>796</v>
      </c>
      <c r="F777" s="17">
        <v>194</v>
      </c>
      <c r="G777" s="17">
        <v>7.5</v>
      </c>
      <c r="H777" s="17" t="str">
        <f>INDEX(Employees!$B$2:$B$17,MATCH(B777,Employees!$A$2:$A$17,0))</f>
        <v>Peyton</v>
      </c>
      <c r="I777" s="17" t="str">
        <f>INDEX(Employees!$C$2:$C$17,MATCH(B777,Employees!$A$2:$A$17,0))</f>
        <v>Cycle Counter</v>
      </c>
      <c r="J777" s="25">
        <f t="shared" si="24"/>
        <v>25.866666666666667</v>
      </c>
      <c r="K777" s="19">
        <f>IF(J777=0,0,J777/INDEX('Labor Dashboard'!$C$36:$C$39,MATCH(E777,'Labor Dashboard'!$B$36:$B$39,0)))</f>
        <v>1.0346666666666666</v>
      </c>
      <c r="L777" s="18">
        <f t="shared" si="25"/>
        <v>11</v>
      </c>
      <c r="M777" s="20">
        <f>G777*INDEX(Employees!$E$2:$E$17,MATCH(B777,Employees!$A$2:$A$17,0))</f>
        <v>135</v>
      </c>
    </row>
    <row r="778" spans="1:13" ht="18" x14ac:dyDescent="0.2">
      <c r="A778" s="17">
        <v>1664</v>
      </c>
      <c r="B778" s="17">
        <v>30</v>
      </c>
      <c r="C778" s="17" t="s">
        <v>564</v>
      </c>
      <c r="D778" s="17" t="s">
        <v>791</v>
      </c>
      <c r="E778" s="17" t="s">
        <v>792</v>
      </c>
      <c r="F778" s="17">
        <v>310</v>
      </c>
      <c r="G778" s="17">
        <v>7.3</v>
      </c>
      <c r="H778" s="17" t="str">
        <f>INDEX(Employees!$B$2:$B$17,MATCH(B778,Employees!$A$2:$A$17,0))</f>
        <v>Emerson</v>
      </c>
      <c r="I778" s="17" t="str">
        <f>INDEX(Employees!$C$2:$C$17,MATCH(B778,Employees!$A$2:$A$17,0))</f>
        <v>Shift Supervisor</v>
      </c>
      <c r="J778" s="25">
        <f t="shared" si="24"/>
        <v>42.465753424657535</v>
      </c>
      <c r="K778" s="19">
        <f>IF(J778=0,0,J778/INDEX('Labor Dashboard'!$C$36:$C$39,MATCH(E778,'Labor Dashboard'!$B$36:$B$39,0)))</f>
        <v>0.77210460772104605</v>
      </c>
      <c r="L778" s="18">
        <f t="shared" si="25"/>
        <v>11</v>
      </c>
      <c r="M778" s="20">
        <f>G778*INDEX(Employees!$E$2:$E$17,MATCH(B778,Employees!$A$2:$A$17,0))</f>
        <v>175.2</v>
      </c>
    </row>
    <row r="779" spans="1:13" ht="18" x14ac:dyDescent="0.2">
      <c r="A779" s="17">
        <v>1665</v>
      </c>
      <c r="B779" s="17">
        <v>17</v>
      </c>
      <c r="C779" s="17" t="s">
        <v>576</v>
      </c>
      <c r="D779" s="17" t="s">
        <v>793</v>
      </c>
      <c r="E779" s="17" t="s">
        <v>792</v>
      </c>
      <c r="F779" s="17">
        <v>425</v>
      </c>
      <c r="G779" s="17">
        <v>8.1999999999999993</v>
      </c>
      <c r="H779" s="17" t="str">
        <f>INDEX(Employees!$B$2:$B$17,MATCH(B779,Employees!$A$2:$A$17,0))</f>
        <v>Jordan</v>
      </c>
      <c r="I779" s="17" t="str">
        <f>INDEX(Employees!$C$2:$C$17,MATCH(B779,Employees!$A$2:$A$17,0))</f>
        <v>Picker</v>
      </c>
      <c r="J779" s="25">
        <f t="shared" si="24"/>
        <v>51.829268292682933</v>
      </c>
      <c r="K779" s="19">
        <f>IF(J779=0,0,J779/INDEX('Labor Dashboard'!$C$36:$C$39,MATCH(E779,'Labor Dashboard'!$B$36:$B$39,0)))</f>
        <v>0.94235033259423517</v>
      </c>
      <c r="L779" s="18">
        <f t="shared" si="25"/>
        <v>11</v>
      </c>
      <c r="M779" s="20">
        <f>G779*INDEX(Employees!$E$2:$E$17,MATCH(B779,Employees!$A$2:$A$17,0))</f>
        <v>139.39999999999998</v>
      </c>
    </row>
    <row r="780" spans="1:13" ht="18" x14ac:dyDescent="0.2">
      <c r="A780" s="17">
        <v>1666</v>
      </c>
      <c r="B780" s="17">
        <v>18</v>
      </c>
      <c r="C780" s="17" t="s">
        <v>576</v>
      </c>
      <c r="D780" s="17" t="s">
        <v>791</v>
      </c>
      <c r="E780" s="17" t="s">
        <v>792</v>
      </c>
      <c r="F780" s="17">
        <v>401</v>
      </c>
      <c r="G780" s="17">
        <v>7.1</v>
      </c>
      <c r="H780" s="17" t="str">
        <f>INDEX(Employees!$B$2:$B$17,MATCH(B780,Employees!$A$2:$A$17,0))</f>
        <v>Casey</v>
      </c>
      <c r="I780" s="17" t="str">
        <f>INDEX(Employees!$C$2:$C$17,MATCH(B780,Employees!$A$2:$A$17,0))</f>
        <v>Picker</v>
      </c>
      <c r="J780" s="25">
        <f t="shared" si="24"/>
        <v>56.478873239436624</v>
      </c>
      <c r="K780" s="19">
        <f>IF(J780=0,0,J780/INDEX('Labor Dashboard'!$C$36:$C$39,MATCH(E780,'Labor Dashboard'!$B$36:$B$39,0)))</f>
        <v>1.0268886043533931</v>
      </c>
      <c r="L780" s="18">
        <f t="shared" si="25"/>
        <v>11</v>
      </c>
      <c r="M780" s="20">
        <f>G780*INDEX(Employees!$E$2:$E$17,MATCH(B780,Employees!$A$2:$A$17,0))</f>
        <v>120.69999999999999</v>
      </c>
    </row>
    <row r="781" spans="1:13" ht="18" x14ac:dyDescent="0.2">
      <c r="A781" s="17">
        <v>1667</v>
      </c>
      <c r="B781" s="17">
        <v>19</v>
      </c>
      <c r="C781" s="17" t="s">
        <v>576</v>
      </c>
      <c r="D781" s="17" t="s">
        <v>793</v>
      </c>
      <c r="E781" s="17" t="s">
        <v>792</v>
      </c>
      <c r="F781" s="17">
        <v>371</v>
      </c>
      <c r="G781" s="17">
        <v>6.8</v>
      </c>
      <c r="H781" s="17" t="str">
        <f>INDEX(Employees!$B$2:$B$17,MATCH(B781,Employees!$A$2:$A$17,0))</f>
        <v>Morgan</v>
      </c>
      <c r="I781" s="17" t="str">
        <f>INDEX(Employees!$C$2:$C$17,MATCH(B781,Employees!$A$2:$A$17,0))</f>
        <v>Picker</v>
      </c>
      <c r="J781" s="25">
        <f t="shared" si="24"/>
        <v>54.558823529411768</v>
      </c>
      <c r="K781" s="19">
        <f>IF(J781=0,0,J781/INDEX('Labor Dashboard'!$C$36:$C$39,MATCH(E781,'Labor Dashboard'!$B$36:$B$39,0)))</f>
        <v>0.99197860962566853</v>
      </c>
      <c r="L781" s="18">
        <f t="shared" si="25"/>
        <v>11</v>
      </c>
      <c r="M781" s="20">
        <f>G781*INDEX(Employees!$E$2:$E$17,MATCH(B781,Employees!$A$2:$A$17,0))</f>
        <v>115.6</v>
      </c>
    </row>
    <row r="782" spans="1:13" ht="18" x14ac:dyDescent="0.2">
      <c r="A782" s="17">
        <v>1668</v>
      </c>
      <c r="B782" s="17">
        <v>20</v>
      </c>
      <c r="C782" s="17" t="s">
        <v>576</v>
      </c>
      <c r="D782" s="17" t="s">
        <v>791</v>
      </c>
      <c r="E782" s="17" t="s">
        <v>792</v>
      </c>
      <c r="F782" s="17">
        <v>414</v>
      </c>
      <c r="G782" s="17">
        <v>7.1</v>
      </c>
      <c r="H782" s="17" t="str">
        <f>INDEX(Employees!$B$2:$B$17,MATCH(B782,Employees!$A$2:$A$17,0))</f>
        <v>Taylor</v>
      </c>
      <c r="I782" s="17" t="str">
        <f>INDEX(Employees!$C$2:$C$17,MATCH(B782,Employees!$A$2:$A$17,0))</f>
        <v>Picker</v>
      </c>
      <c r="J782" s="25">
        <f t="shared" si="24"/>
        <v>58.309859154929583</v>
      </c>
      <c r="K782" s="19">
        <f>IF(J782=0,0,J782/INDEX('Labor Dashboard'!$C$36:$C$39,MATCH(E782,'Labor Dashboard'!$B$36:$B$39,0)))</f>
        <v>1.0601792573623561</v>
      </c>
      <c r="L782" s="18">
        <f t="shared" si="25"/>
        <v>11</v>
      </c>
      <c r="M782" s="20">
        <f>G782*INDEX(Employees!$E$2:$E$17,MATCH(B782,Employees!$A$2:$A$17,0))</f>
        <v>120.69999999999999</v>
      </c>
    </row>
    <row r="783" spans="1:13" ht="18" x14ac:dyDescent="0.2">
      <c r="A783" s="17">
        <v>1669</v>
      </c>
      <c r="B783" s="17">
        <v>21</v>
      </c>
      <c r="C783" s="17" t="s">
        <v>576</v>
      </c>
      <c r="D783" s="17" t="s">
        <v>793</v>
      </c>
      <c r="E783" s="17" t="s">
        <v>794</v>
      </c>
      <c r="F783" s="17">
        <v>279</v>
      </c>
      <c r="G783" s="17">
        <v>6.7</v>
      </c>
      <c r="H783" s="17" t="str">
        <f>INDEX(Employees!$B$2:$B$17,MATCH(B783,Employees!$A$2:$A$17,0))</f>
        <v>Riley</v>
      </c>
      <c r="I783" s="17" t="str">
        <f>INDEX(Employees!$C$2:$C$17,MATCH(B783,Employees!$A$2:$A$17,0))</f>
        <v>Packer</v>
      </c>
      <c r="J783" s="25">
        <f t="shared" si="24"/>
        <v>41.64179104477612</v>
      </c>
      <c r="K783" s="19">
        <f>IF(J783=0,0,J783/INDEX('Labor Dashboard'!$C$36:$C$39,MATCH(E783,'Labor Dashboard'!$B$36:$B$39,0)))</f>
        <v>0.92537313432835822</v>
      </c>
      <c r="L783" s="18">
        <f t="shared" si="25"/>
        <v>11</v>
      </c>
      <c r="M783" s="20">
        <f>G783*INDEX(Employees!$E$2:$E$17,MATCH(B783,Employees!$A$2:$A$17,0))</f>
        <v>113.9</v>
      </c>
    </row>
    <row r="784" spans="1:13" ht="18" x14ac:dyDescent="0.2">
      <c r="A784" s="17">
        <v>1670</v>
      </c>
      <c r="B784" s="17">
        <v>22</v>
      </c>
      <c r="C784" s="17" t="s">
        <v>576</v>
      </c>
      <c r="D784" s="17" t="s">
        <v>791</v>
      </c>
      <c r="E784" s="17" t="s">
        <v>794</v>
      </c>
      <c r="F784" s="17">
        <v>402</v>
      </c>
      <c r="G784" s="17">
        <v>7.6</v>
      </c>
      <c r="H784" s="17" t="str">
        <f>INDEX(Employees!$B$2:$B$17,MATCH(B784,Employees!$A$2:$A$17,0))</f>
        <v>Avery</v>
      </c>
      <c r="I784" s="17" t="str">
        <f>INDEX(Employees!$C$2:$C$17,MATCH(B784,Employees!$A$2:$A$17,0))</f>
        <v>Packer</v>
      </c>
      <c r="J784" s="25">
        <f t="shared" si="24"/>
        <v>52.894736842105267</v>
      </c>
      <c r="K784" s="19">
        <f>IF(J784=0,0,J784/INDEX('Labor Dashboard'!$C$36:$C$39,MATCH(E784,'Labor Dashboard'!$B$36:$B$39,0)))</f>
        <v>1.1754385964912282</v>
      </c>
      <c r="L784" s="18">
        <f t="shared" si="25"/>
        <v>11</v>
      </c>
      <c r="M784" s="20">
        <f>G784*INDEX(Employees!$E$2:$E$17,MATCH(B784,Employees!$A$2:$A$17,0))</f>
        <v>129.19999999999999</v>
      </c>
    </row>
    <row r="785" spans="1:13" ht="18" x14ac:dyDescent="0.2">
      <c r="A785" s="17">
        <v>1671</v>
      </c>
      <c r="B785" s="17">
        <v>23</v>
      </c>
      <c r="C785" s="17" t="s">
        <v>576</v>
      </c>
      <c r="D785" s="17" t="s">
        <v>793</v>
      </c>
      <c r="E785" s="17" t="s">
        <v>794</v>
      </c>
      <c r="F785" s="17">
        <v>328</v>
      </c>
      <c r="G785" s="17">
        <v>6.8</v>
      </c>
      <c r="H785" s="17" t="str">
        <f>INDEX(Employees!$B$2:$B$17,MATCH(B785,Employees!$A$2:$A$17,0))</f>
        <v>Cameron</v>
      </c>
      <c r="I785" s="17" t="str">
        <f>INDEX(Employees!$C$2:$C$17,MATCH(B785,Employees!$A$2:$A$17,0))</f>
        <v>Packer</v>
      </c>
      <c r="J785" s="25">
        <f t="shared" si="24"/>
        <v>48.235294117647058</v>
      </c>
      <c r="K785" s="19">
        <f>IF(J785=0,0,J785/INDEX('Labor Dashboard'!$C$36:$C$39,MATCH(E785,'Labor Dashboard'!$B$36:$B$39,0)))</f>
        <v>1.0718954248366013</v>
      </c>
      <c r="L785" s="18">
        <f t="shared" si="25"/>
        <v>11</v>
      </c>
      <c r="M785" s="20">
        <f>G785*INDEX(Employees!$E$2:$E$17,MATCH(B785,Employees!$A$2:$A$17,0))</f>
        <v>115.6</v>
      </c>
    </row>
    <row r="786" spans="1:13" ht="18" x14ac:dyDescent="0.2">
      <c r="A786" s="17">
        <v>1672</v>
      </c>
      <c r="B786" s="17">
        <v>25</v>
      </c>
      <c r="C786" s="17" t="s">
        <v>576</v>
      </c>
      <c r="D786" s="17" t="s">
        <v>793</v>
      </c>
      <c r="E786" s="17" t="s">
        <v>795</v>
      </c>
      <c r="F786" s="17">
        <v>198</v>
      </c>
      <c r="G786" s="17">
        <v>6.6</v>
      </c>
      <c r="H786" s="17" t="str">
        <f>INDEX(Employees!$B$2:$B$17,MATCH(B786,Employees!$A$2:$A$17,0))</f>
        <v>Hayden</v>
      </c>
      <c r="I786" s="17" t="str">
        <f>INDEX(Employees!$C$2:$C$17,MATCH(B786,Employees!$A$2:$A$17,0))</f>
        <v>Forklift Operator</v>
      </c>
      <c r="J786" s="25">
        <f t="shared" si="24"/>
        <v>30</v>
      </c>
      <c r="K786" s="19">
        <f>IF(J786=0,0,J786/INDEX('Labor Dashboard'!$C$36:$C$39,MATCH(E786,'Labor Dashboard'!$B$36:$B$39,0)))</f>
        <v>1</v>
      </c>
      <c r="L786" s="18">
        <f t="shared" si="25"/>
        <v>11</v>
      </c>
      <c r="M786" s="20">
        <f>G786*INDEX(Employees!$E$2:$E$17,MATCH(B786,Employees!$A$2:$A$17,0))</f>
        <v>128.69999999999999</v>
      </c>
    </row>
    <row r="787" spans="1:13" ht="18" x14ac:dyDescent="0.2">
      <c r="A787" s="17">
        <v>1673</v>
      </c>
      <c r="B787" s="17">
        <v>27</v>
      </c>
      <c r="C787" s="17" t="s">
        <v>576</v>
      </c>
      <c r="D787" s="17" t="s">
        <v>793</v>
      </c>
      <c r="E787" s="17" t="s">
        <v>795</v>
      </c>
      <c r="F787" s="17">
        <v>222</v>
      </c>
      <c r="G787" s="17">
        <v>8.1999999999999993</v>
      </c>
      <c r="H787" s="17" t="str">
        <f>INDEX(Employees!$B$2:$B$17,MATCH(B787,Employees!$A$2:$A$17,0))</f>
        <v>Skyler</v>
      </c>
      <c r="I787" s="17" t="str">
        <f>INDEX(Employees!$C$2:$C$17,MATCH(B787,Employees!$A$2:$A$17,0))</f>
        <v>Receiving Clerk</v>
      </c>
      <c r="J787" s="25">
        <f t="shared" si="24"/>
        <v>27.073170731707318</v>
      </c>
      <c r="K787" s="19">
        <f>IF(J787=0,0,J787/INDEX('Labor Dashboard'!$C$36:$C$39,MATCH(E787,'Labor Dashboard'!$B$36:$B$39,0)))</f>
        <v>0.90243902439024393</v>
      </c>
      <c r="L787" s="18">
        <f t="shared" si="25"/>
        <v>11</v>
      </c>
      <c r="M787" s="20">
        <f>G787*INDEX(Employees!$E$2:$E$17,MATCH(B787,Employees!$A$2:$A$17,0))</f>
        <v>147.6</v>
      </c>
    </row>
    <row r="788" spans="1:13" ht="18" x14ac:dyDescent="0.2">
      <c r="A788" s="17">
        <v>1674</v>
      </c>
      <c r="B788" s="17">
        <v>28</v>
      </c>
      <c r="C788" s="17" t="s">
        <v>576</v>
      </c>
      <c r="D788" s="17" t="s">
        <v>791</v>
      </c>
      <c r="E788" s="17" t="s">
        <v>796</v>
      </c>
      <c r="F788" s="17">
        <v>187</v>
      </c>
      <c r="G788" s="17">
        <v>8</v>
      </c>
      <c r="H788" s="17" t="str">
        <f>INDEX(Employees!$B$2:$B$17,MATCH(B788,Employees!$A$2:$A$17,0))</f>
        <v>Peyton</v>
      </c>
      <c r="I788" s="17" t="str">
        <f>INDEX(Employees!$C$2:$C$17,MATCH(B788,Employees!$A$2:$A$17,0))</f>
        <v>Cycle Counter</v>
      </c>
      <c r="J788" s="25">
        <f t="shared" si="24"/>
        <v>23.375</v>
      </c>
      <c r="K788" s="19">
        <f>IF(J788=0,0,J788/INDEX('Labor Dashboard'!$C$36:$C$39,MATCH(E788,'Labor Dashboard'!$B$36:$B$39,0)))</f>
        <v>0.93500000000000005</v>
      </c>
      <c r="L788" s="18">
        <f t="shared" si="25"/>
        <v>11</v>
      </c>
      <c r="M788" s="20">
        <f>G788*INDEX(Employees!$E$2:$E$17,MATCH(B788,Employees!$A$2:$A$17,0))</f>
        <v>144</v>
      </c>
    </row>
    <row r="789" spans="1:13" ht="18" x14ac:dyDescent="0.2">
      <c r="A789" s="17">
        <v>1675</v>
      </c>
      <c r="B789" s="17">
        <v>29</v>
      </c>
      <c r="C789" s="17" t="s">
        <v>576</v>
      </c>
      <c r="D789" s="17" t="s">
        <v>791</v>
      </c>
      <c r="E789" s="17" t="s">
        <v>796</v>
      </c>
      <c r="F789" s="17">
        <v>208</v>
      </c>
      <c r="G789" s="17">
        <v>7.7</v>
      </c>
      <c r="H789" s="17" t="str">
        <f>INDEX(Employees!$B$2:$B$17,MATCH(B789,Employees!$A$2:$A$17,0))</f>
        <v>Rowan</v>
      </c>
      <c r="I789" s="17" t="str">
        <f>INDEX(Employees!$C$2:$C$17,MATCH(B789,Employees!$A$2:$A$17,0))</f>
        <v>Cycle Counter</v>
      </c>
      <c r="J789" s="25">
        <f t="shared" si="24"/>
        <v>27.012987012987011</v>
      </c>
      <c r="K789" s="19">
        <f>IF(J789=0,0,J789/INDEX('Labor Dashboard'!$C$36:$C$39,MATCH(E789,'Labor Dashboard'!$B$36:$B$39,0)))</f>
        <v>1.0805194805194804</v>
      </c>
      <c r="L789" s="18">
        <f t="shared" si="25"/>
        <v>11</v>
      </c>
      <c r="M789" s="20">
        <f>G789*INDEX(Employees!$E$2:$E$17,MATCH(B789,Employees!$A$2:$A$17,0))</f>
        <v>138.6</v>
      </c>
    </row>
    <row r="790" spans="1:13" ht="18" x14ac:dyDescent="0.2">
      <c r="A790" s="17">
        <v>1676</v>
      </c>
      <c r="B790" s="17">
        <v>31</v>
      </c>
      <c r="C790" s="17" t="s">
        <v>576</v>
      </c>
      <c r="D790" s="17" t="s">
        <v>793</v>
      </c>
      <c r="E790" s="17" t="s">
        <v>795</v>
      </c>
      <c r="F790" s="17">
        <v>237</v>
      </c>
      <c r="G790" s="17">
        <v>7.2</v>
      </c>
      <c r="H790" s="17" t="str">
        <f>INDEX(Employees!$B$2:$B$17,MATCH(B790,Employees!$A$2:$A$17,0))</f>
        <v>Finley</v>
      </c>
      <c r="I790" s="17" t="str">
        <f>INDEX(Employees!$C$2:$C$17,MATCH(B790,Employees!$A$2:$A$17,0))</f>
        <v>Shift Supervisor</v>
      </c>
      <c r="J790" s="25">
        <f t="shared" si="24"/>
        <v>32.916666666666664</v>
      </c>
      <c r="K790" s="19">
        <f>IF(J790=0,0,J790/INDEX('Labor Dashboard'!$C$36:$C$39,MATCH(E790,'Labor Dashboard'!$B$36:$B$39,0)))</f>
        <v>1.0972222222222221</v>
      </c>
      <c r="L790" s="18">
        <f t="shared" si="25"/>
        <v>11</v>
      </c>
      <c r="M790" s="20">
        <f>G790*INDEX(Employees!$E$2:$E$17,MATCH(B790,Employees!$A$2:$A$17,0))</f>
        <v>172.8</v>
      </c>
    </row>
    <row r="791" spans="1:13" ht="18" x14ac:dyDescent="0.2">
      <c r="A791" s="17">
        <v>1677</v>
      </c>
      <c r="B791" s="17">
        <v>32</v>
      </c>
      <c r="C791" s="17" t="s">
        <v>576</v>
      </c>
      <c r="D791" s="17" t="s">
        <v>793</v>
      </c>
      <c r="E791" s="17" t="s">
        <v>796</v>
      </c>
      <c r="F791" s="17">
        <v>159</v>
      </c>
      <c r="G791" s="17">
        <v>7.5</v>
      </c>
      <c r="H791" s="17" t="str">
        <f>INDEX(Employees!$B$2:$B$17,MATCH(B791,Employees!$A$2:$A$17,0))</f>
        <v>Sawyer</v>
      </c>
      <c r="I791" s="17" t="str">
        <f>INDEX(Employees!$C$2:$C$17,MATCH(B791,Employees!$A$2:$A$17,0))</f>
        <v>Shift Supervisor</v>
      </c>
      <c r="J791" s="25">
        <f t="shared" si="24"/>
        <v>21.2</v>
      </c>
      <c r="K791" s="19">
        <f>IF(J791=0,0,J791/INDEX('Labor Dashboard'!$C$36:$C$39,MATCH(E791,'Labor Dashboard'!$B$36:$B$39,0)))</f>
        <v>0.84799999999999998</v>
      </c>
      <c r="L791" s="18">
        <f t="shared" si="25"/>
        <v>11</v>
      </c>
      <c r="M791" s="20">
        <f>G791*INDEX(Employees!$E$2:$E$17,MATCH(B791,Employees!$A$2:$A$17,0))</f>
        <v>180</v>
      </c>
    </row>
    <row r="792" spans="1:13" ht="18" x14ac:dyDescent="0.2">
      <c r="A792" s="17">
        <v>1678</v>
      </c>
      <c r="B792" s="17">
        <v>18</v>
      </c>
      <c r="C792" s="17" t="s">
        <v>596</v>
      </c>
      <c r="D792" s="17" t="s">
        <v>791</v>
      </c>
      <c r="E792" s="17" t="s">
        <v>792</v>
      </c>
      <c r="F792" s="17">
        <v>442</v>
      </c>
      <c r="G792" s="17">
        <v>6.9</v>
      </c>
      <c r="H792" s="17" t="str">
        <f>INDEX(Employees!$B$2:$B$17,MATCH(B792,Employees!$A$2:$A$17,0))</f>
        <v>Casey</v>
      </c>
      <c r="I792" s="17" t="str">
        <f>INDEX(Employees!$C$2:$C$17,MATCH(B792,Employees!$A$2:$A$17,0))</f>
        <v>Picker</v>
      </c>
      <c r="J792" s="25">
        <f t="shared" si="24"/>
        <v>64.05797101449275</v>
      </c>
      <c r="K792" s="19">
        <f>IF(J792=0,0,J792/INDEX('Labor Dashboard'!$C$36:$C$39,MATCH(E792,'Labor Dashboard'!$B$36:$B$39,0)))</f>
        <v>1.1646903820816863</v>
      </c>
      <c r="L792" s="18">
        <f t="shared" si="25"/>
        <v>11</v>
      </c>
      <c r="M792" s="20">
        <f>G792*INDEX(Employees!$E$2:$E$17,MATCH(B792,Employees!$A$2:$A$17,0))</f>
        <v>117.30000000000001</v>
      </c>
    </row>
    <row r="793" spans="1:13" ht="18" x14ac:dyDescent="0.2">
      <c r="A793" s="17">
        <v>1679</v>
      </c>
      <c r="B793" s="17">
        <v>19</v>
      </c>
      <c r="C793" s="17" t="s">
        <v>596</v>
      </c>
      <c r="D793" s="17" t="s">
        <v>791</v>
      </c>
      <c r="E793" s="17" t="s">
        <v>792</v>
      </c>
      <c r="F793" s="17">
        <v>425</v>
      </c>
      <c r="G793" s="17">
        <v>7.2</v>
      </c>
      <c r="H793" s="17" t="str">
        <f>INDEX(Employees!$B$2:$B$17,MATCH(B793,Employees!$A$2:$A$17,0))</f>
        <v>Morgan</v>
      </c>
      <c r="I793" s="17" t="str">
        <f>INDEX(Employees!$C$2:$C$17,MATCH(B793,Employees!$A$2:$A$17,0))</f>
        <v>Picker</v>
      </c>
      <c r="J793" s="25">
        <f t="shared" si="24"/>
        <v>59.027777777777779</v>
      </c>
      <c r="K793" s="19">
        <f>IF(J793=0,0,J793/INDEX('Labor Dashboard'!$C$36:$C$39,MATCH(E793,'Labor Dashboard'!$B$36:$B$39,0)))</f>
        <v>1.0732323232323233</v>
      </c>
      <c r="L793" s="18">
        <f t="shared" si="25"/>
        <v>11</v>
      </c>
      <c r="M793" s="20">
        <f>G793*INDEX(Employees!$E$2:$E$17,MATCH(B793,Employees!$A$2:$A$17,0))</f>
        <v>122.4</v>
      </c>
    </row>
    <row r="794" spans="1:13" ht="18" x14ac:dyDescent="0.2">
      <c r="A794" s="17">
        <v>1680</v>
      </c>
      <c r="B794" s="17">
        <v>20</v>
      </c>
      <c r="C794" s="17" t="s">
        <v>596</v>
      </c>
      <c r="D794" s="17" t="s">
        <v>793</v>
      </c>
      <c r="E794" s="17" t="s">
        <v>792</v>
      </c>
      <c r="F794" s="17">
        <v>369</v>
      </c>
      <c r="G794" s="17">
        <v>6.7</v>
      </c>
      <c r="H794" s="17" t="str">
        <f>INDEX(Employees!$B$2:$B$17,MATCH(B794,Employees!$A$2:$A$17,0))</f>
        <v>Taylor</v>
      </c>
      <c r="I794" s="17" t="str">
        <f>INDEX(Employees!$C$2:$C$17,MATCH(B794,Employees!$A$2:$A$17,0))</f>
        <v>Picker</v>
      </c>
      <c r="J794" s="25">
        <f t="shared" si="24"/>
        <v>55.07462686567164</v>
      </c>
      <c r="K794" s="19">
        <f>IF(J794=0,0,J794/INDEX('Labor Dashboard'!$C$36:$C$39,MATCH(E794,'Labor Dashboard'!$B$36:$B$39,0)))</f>
        <v>1.0013568521031206</v>
      </c>
      <c r="L794" s="18">
        <f t="shared" si="25"/>
        <v>11</v>
      </c>
      <c r="M794" s="20">
        <f>G794*INDEX(Employees!$E$2:$E$17,MATCH(B794,Employees!$A$2:$A$17,0))</f>
        <v>113.9</v>
      </c>
    </row>
    <row r="795" spans="1:13" ht="18" x14ac:dyDescent="0.2">
      <c r="A795" s="17">
        <v>1681</v>
      </c>
      <c r="B795" s="17">
        <v>21</v>
      </c>
      <c r="C795" s="17" t="s">
        <v>596</v>
      </c>
      <c r="D795" s="17" t="s">
        <v>793</v>
      </c>
      <c r="E795" s="17" t="s">
        <v>794</v>
      </c>
      <c r="F795" s="17">
        <v>253</v>
      </c>
      <c r="G795" s="17">
        <v>6.7</v>
      </c>
      <c r="H795" s="17" t="str">
        <f>INDEX(Employees!$B$2:$B$17,MATCH(B795,Employees!$A$2:$A$17,0))</f>
        <v>Riley</v>
      </c>
      <c r="I795" s="17" t="str">
        <f>INDEX(Employees!$C$2:$C$17,MATCH(B795,Employees!$A$2:$A$17,0))</f>
        <v>Packer</v>
      </c>
      <c r="J795" s="25">
        <f t="shared" si="24"/>
        <v>37.761194029850742</v>
      </c>
      <c r="K795" s="19">
        <f>IF(J795=0,0,J795/INDEX('Labor Dashboard'!$C$36:$C$39,MATCH(E795,'Labor Dashboard'!$B$36:$B$39,0)))</f>
        <v>0.83913764510779432</v>
      </c>
      <c r="L795" s="18">
        <f t="shared" si="25"/>
        <v>11</v>
      </c>
      <c r="M795" s="20">
        <f>G795*INDEX(Employees!$E$2:$E$17,MATCH(B795,Employees!$A$2:$A$17,0))</f>
        <v>113.9</v>
      </c>
    </row>
    <row r="796" spans="1:13" ht="18" x14ac:dyDescent="0.2">
      <c r="A796" s="17">
        <v>1682</v>
      </c>
      <c r="B796" s="17">
        <v>22</v>
      </c>
      <c r="C796" s="17" t="s">
        <v>596</v>
      </c>
      <c r="D796" s="17" t="s">
        <v>793</v>
      </c>
      <c r="E796" s="17" t="s">
        <v>794</v>
      </c>
      <c r="F796" s="17">
        <v>410</v>
      </c>
      <c r="G796" s="17">
        <v>7.7</v>
      </c>
      <c r="H796" s="17" t="str">
        <f>INDEX(Employees!$B$2:$B$17,MATCH(B796,Employees!$A$2:$A$17,0))</f>
        <v>Avery</v>
      </c>
      <c r="I796" s="17" t="str">
        <f>INDEX(Employees!$C$2:$C$17,MATCH(B796,Employees!$A$2:$A$17,0))</f>
        <v>Packer</v>
      </c>
      <c r="J796" s="25">
        <f t="shared" si="24"/>
        <v>53.246753246753244</v>
      </c>
      <c r="K796" s="19">
        <f>IF(J796=0,0,J796/INDEX('Labor Dashboard'!$C$36:$C$39,MATCH(E796,'Labor Dashboard'!$B$36:$B$39,0)))</f>
        <v>1.1832611832611832</v>
      </c>
      <c r="L796" s="18">
        <f t="shared" si="25"/>
        <v>11</v>
      </c>
      <c r="M796" s="20">
        <f>G796*INDEX(Employees!$E$2:$E$17,MATCH(B796,Employees!$A$2:$A$17,0))</f>
        <v>130.9</v>
      </c>
    </row>
    <row r="797" spans="1:13" ht="18" x14ac:dyDescent="0.2">
      <c r="A797" s="17">
        <v>1683</v>
      </c>
      <c r="B797" s="17">
        <v>23</v>
      </c>
      <c r="C797" s="17" t="s">
        <v>596</v>
      </c>
      <c r="D797" s="17" t="s">
        <v>793</v>
      </c>
      <c r="E797" s="17" t="s">
        <v>794</v>
      </c>
      <c r="F797" s="17">
        <v>343</v>
      </c>
      <c r="G797" s="17">
        <v>6.5</v>
      </c>
      <c r="H797" s="17" t="str">
        <f>INDEX(Employees!$B$2:$B$17,MATCH(B797,Employees!$A$2:$A$17,0))</f>
        <v>Cameron</v>
      </c>
      <c r="I797" s="17" t="str">
        <f>INDEX(Employees!$C$2:$C$17,MATCH(B797,Employees!$A$2:$A$17,0))</f>
        <v>Packer</v>
      </c>
      <c r="J797" s="25">
        <f t="shared" si="24"/>
        <v>52.769230769230766</v>
      </c>
      <c r="K797" s="19">
        <f>IF(J797=0,0,J797/INDEX('Labor Dashboard'!$C$36:$C$39,MATCH(E797,'Labor Dashboard'!$B$36:$B$39,0)))</f>
        <v>1.1726495726495725</v>
      </c>
      <c r="L797" s="18">
        <f t="shared" si="25"/>
        <v>11</v>
      </c>
      <c r="M797" s="20">
        <f>G797*INDEX(Employees!$E$2:$E$17,MATCH(B797,Employees!$A$2:$A$17,0))</f>
        <v>110.5</v>
      </c>
    </row>
    <row r="798" spans="1:13" ht="18" x14ac:dyDescent="0.2">
      <c r="A798" s="17">
        <v>1684</v>
      </c>
      <c r="B798" s="17">
        <v>25</v>
      </c>
      <c r="C798" s="17" t="s">
        <v>596</v>
      </c>
      <c r="D798" s="17" t="s">
        <v>791</v>
      </c>
      <c r="E798" s="17" t="s">
        <v>795</v>
      </c>
      <c r="F798" s="17">
        <v>219</v>
      </c>
      <c r="G798" s="17">
        <v>7.4</v>
      </c>
      <c r="H798" s="17" t="str">
        <f>INDEX(Employees!$B$2:$B$17,MATCH(B798,Employees!$A$2:$A$17,0))</f>
        <v>Hayden</v>
      </c>
      <c r="I798" s="17" t="str">
        <f>INDEX(Employees!$C$2:$C$17,MATCH(B798,Employees!$A$2:$A$17,0))</f>
        <v>Forklift Operator</v>
      </c>
      <c r="J798" s="25">
        <f t="shared" si="24"/>
        <v>29.594594594594593</v>
      </c>
      <c r="K798" s="19">
        <f>IF(J798=0,0,J798/INDEX('Labor Dashboard'!$C$36:$C$39,MATCH(E798,'Labor Dashboard'!$B$36:$B$39,0)))</f>
        <v>0.9864864864864864</v>
      </c>
      <c r="L798" s="18">
        <f t="shared" si="25"/>
        <v>11</v>
      </c>
      <c r="M798" s="20">
        <f>G798*INDEX(Employees!$E$2:$E$17,MATCH(B798,Employees!$A$2:$A$17,0))</f>
        <v>144.30000000000001</v>
      </c>
    </row>
    <row r="799" spans="1:13" ht="18" x14ac:dyDescent="0.2">
      <c r="A799" s="17">
        <v>1685</v>
      </c>
      <c r="B799" s="17">
        <v>26</v>
      </c>
      <c r="C799" s="17" t="s">
        <v>596</v>
      </c>
      <c r="D799" s="17" t="s">
        <v>793</v>
      </c>
      <c r="E799" s="17" t="s">
        <v>795</v>
      </c>
      <c r="F799" s="17">
        <v>237</v>
      </c>
      <c r="G799" s="17">
        <v>8.1</v>
      </c>
      <c r="H799" s="17" t="str">
        <f>INDEX(Employees!$B$2:$B$17,MATCH(B799,Employees!$A$2:$A$17,0))</f>
        <v>Reese</v>
      </c>
      <c r="I799" s="17" t="str">
        <f>INDEX(Employees!$C$2:$C$17,MATCH(B799,Employees!$A$2:$A$17,0))</f>
        <v>Receiving Clerk</v>
      </c>
      <c r="J799" s="25">
        <f t="shared" si="24"/>
        <v>29.25925925925926</v>
      </c>
      <c r="K799" s="19">
        <f>IF(J799=0,0,J799/INDEX('Labor Dashboard'!$C$36:$C$39,MATCH(E799,'Labor Dashboard'!$B$36:$B$39,0)))</f>
        <v>0.97530864197530864</v>
      </c>
      <c r="L799" s="18">
        <f t="shared" si="25"/>
        <v>11</v>
      </c>
      <c r="M799" s="20">
        <f>G799*INDEX(Employees!$E$2:$E$17,MATCH(B799,Employees!$A$2:$A$17,0))</f>
        <v>145.79999999999998</v>
      </c>
    </row>
    <row r="800" spans="1:13" ht="18" x14ac:dyDescent="0.2">
      <c r="A800" s="17">
        <v>1686</v>
      </c>
      <c r="B800" s="17">
        <v>27</v>
      </c>
      <c r="C800" s="17" t="s">
        <v>596</v>
      </c>
      <c r="D800" s="17" t="s">
        <v>793</v>
      </c>
      <c r="E800" s="17" t="s">
        <v>795</v>
      </c>
      <c r="F800" s="17">
        <v>156</v>
      </c>
      <c r="G800" s="17">
        <v>6.5</v>
      </c>
      <c r="H800" s="17" t="str">
        <f>INDEX(Employees!$B$2:$B$17,MATCH(B800,Employees!$A$2:$A$17,0))</f>
        <v>Skyler</v>
      </c>
      <c r="I800" s="17" t="str">
        <f>INDEX(Employees!$C$2:$C$17,MATCH(B800,Employees!$A$2:$A$17,0))</f>
        <v>Receiving Clerk</v>
      </c>
      <c r="J800" s="25">
        <f t="shared" si="24"/>
        <v>24</v>
      </c>
      <c r="K800" s="19">
        <f>IF(J800=0,0,J800/INDEX('Labor Dashboard'!$C$36:$C$39,MATCH(E800,'Labor Dashboard'!$B$36:$B$39,0)))</f>
        <v>0.8</v>
      </c>
      <c r="L800" s="18">
        <f t="shared" si="25"/>
        <v>11</v>
      </c>
      <c r="M800" s="20">
        <f>G800*INDEX(Employees!$E$2:$E$17,MATCH(B800,Employees!$A$2:$A$17,0))</f>
        <v>117</v>
      </c>
    </row>
    <row r="801" spans="1:13" ht="18" x14ac:dyDescent="0.2">
      <c r="A801" s="17">
        <v>1687</v>
      </c>
      <c r="B801" s="17">
        <v>28</v>
      </c>
      <c r="C801" s="17" t="s">
        <v>596</v>
      </c>
      <c r="D801" s="17" t="s">
        <v>791</v>
      </c>
      <c r="E801" s="17" t="s">
        <v>796</v>
      </c>
      <c r="F801" s="17">
        <v>147</v>
      </c>
      <c r="G801" s="17">
        <v>6.7</v>
      </c>
      <c r="H801" s="17" t="str">
        <f>INDEX(Employees!$B$2:$B$17,MATCH(B801,Employees!$A$2:$A$17,0))</f>
        <v>Peyton</v>
      </c>
      <c r="I801" s="17" t="str">
        <f>INDEX(Employees!$C$2:$C$17,MATCH(B801,Employees!$A$2:$A$17,0))</f>
        <v>Cycle Counter</v>
      </c>
      <c r="J801" s="25">
        <f t="shared" si="24"/>
        <v>21.940298507462686</v>
      </c>
      <c r="K801" s="19">
        <f>IF(J801=0,0,J801/INDEX('Labor Dashboard'!$C$36:$C$39,MATCH(E801,'Labor Dashboard'!$B$36:$B$39,0)))</f>
        <v>0.87761194029850742</v>
      </c>
      <c r="L801" s="18">
        <f t="shared" si="25"/>
        <v>11</v>
      </c>
      <c r="M801" s="20">
        <f>G801*INDEX(Employees!$E$2:$E$17,MATCH(B801,Employees!$A$2:$A$17,0))</f>
        <v>120.60000000000001</v>
      </c>
    </row>
    <row r="802" spans="1:13" ht="18" x14ac:dyDescent="0.2">
      <c r="A802" s="17">
        <v>1688</v>
      </c>
      <c r="B802" s="17">
        <v>29</v>
      </c>
      <c r="C802" s="17" t="s">
        <v>596</v>
      </c>
      <c r="D802" s="17" t="s">
        <v>793</v>
      </c>
      <c r="E802" s="17" t="s">
        <v>796</v>
      </c>
      <c r="F802" s="17">
        <v>172</v>
      </c>
      <c r="G802" s="17">
        <v>7.1</v>
      </c>
      <c r="H802" s="17" t="str">
        <f>INDEX(Employees!$B$2:$B$17,MATCH(B802,Employees!$A$2:$A$17,0))</f>
        <v>Rowan</v>
      </c>
      <c r="I802" s="17" t="str">
        <f>INDEX(Employees!$C$2:$C$17,MATCH(B802,Employees!$A$2:$A$17,0))</f>
        <v>Cycle Counter</v>
      </c>
      <c r="J802" s="25">
        <f t="shared" si="24"/>
        <v>24.225352112676056</v>
      </c>
      <c r="K802" s="19">
        <f>IF(J802=0,0,J802/INDEX('Labor Dashboard'!$C$36:$C$39,MATCH(E802,'Labor Dashboard'!$B$36:$B$39,0)))</f>
        <v>0.96901408450704229</v>
      </c>
      <c r="L802" s="18">
        <f t="shared" si="25"/>
        <v>11</v>
      </c>
      <c r="M802" s="20">
        <f>G802*INDEX(Employees!$E$2:$E$17,MATCH(B802,Employees!$A$2:$A$17,0))</f>
        <v>127.8</v>
      </c>
    </row>
    <row r="803" spans="1:13" ht="18" x14ac:dyDescent="0.2">
      <c r="A803" s="17">
        <v>1689</v>
      </c>
      <c r="B803" s="17">
        <v>30</v>
      </c>
      <c r="C803" s="17" t="s">
        <v>596</v>
      </c>
      <c r="D803" s="17" t="s">
        <v>793</v>
      </c>
      <c r="E803" s="17" t="s">
        <v>796</v>
      </c>
      <c r="F803" s="17">
        <v>186</v>
      </c>
      <c r="G803" s="17">
        <v>8.5</v>
      </c>
      <c r="H803" s="17" t="str">
        <f>INDEX(Employees!$B$2:$B$17,MATCH(B803,Employees!$A$2:$A$17,0))</f>
        <v>Emerson</v>
      </c>
      <c r="I803" s="17" t="str">
        <f>INDEX(Employees!$C$2:$C$17,MATCH(B803,Employees!$A$2:$A$17,0))</f>
        <v>Shift Supervisor</v>
      </c>
      <c r="J803" s="25">
        <f t="shared" si="24"/>
        <v>21.882352941176471</v>
      </c>
      <c r="K803" s="19">
        <f>IF(J803=0,0,J803/INDEX('Labor Dashboard'!$C$36:$C$39,MATCH(E803,'Labor Dashboard'!$B$36:$B$39,0)))</f>
        <v>0.87529411764705889</v>
      </c>
      <c r="L803" s="18">
        <f t="shared" si="25"/>
        <v>11</v>
      </c>
      <c r="M803" s="20">
        <f>G803*INDEX(Employees!$E$2:$E$17,MATCH(B803,Employees!$A$2:$A$17,0))</f>
        <v>204</v>
      </c>
    </row>
    <row r="804" spans="1:13" ht="18" x14ac:dyDescent="0.2">
      <c r="A804" s="17">
        <v>1690</v>
      </c>
      <c r="B804" s="17">
        <v>31</v>
      </c>
      <c r="C804" s="17" t="s">
        <v>596</v>
      </c>
      <c r="D804" s="17" t="s">
        <v>793</v>
      </c>
      <c r="E804" s="17" t="s">
        <v>794</v>
      </c>
      <c r="F804" s="17">
        <v>412</v>
      </c>
      <c r="G804" s="17">
        <v>7.6</v>
      </c>
      <c r="H804" s="17" t="str">
        <f>INDEX(Employees!$B$2:$B$17,MATCH(B804,Employees!$A$2:$A$17,0))</f>
        <v>Finley</v>
      </c>
      <c r="I804" s="17" t="str">
        <f>INDEX(Employees!$C$2:$C$17,MATCH(B804,Employees!$A$2:$A$17,0))</f>
        <v>Shift Supervisor</v>
      </c>
      <c r="J804" s="25">
        <f t="shared" si="24"/>
        <v>54.21052631578948</v>
      </c>
      <c r="K804" s="19">
        <f>IF(J804=0,0,J804/INDEX('Labor Dashboard'!$C$36:$C$39,MATCH(E804,'Labor Dashboard'!$B$36:$B$39,0)))</f>
        <v>1.2046783625730995</v>
      </c>
      <c r="L804" s="18">
        <f t="shared" si="25"/>
        <v>11</v>
      </c>
      <c r="M804" s="20">
        <f>G804*INDEX(Employees!$E$2:$E$17,MATCH(B804,Employees!$A$2:$A$17,0))</f>
        <v>182.39999999999998</v>
      </c>
    </row>
    <row r="805" spans="1:13" ht="18" x14ac:dyDescent="0.2">
      <c r="A805" s="17">
        <v>1691</v>
      </c>
      <c r="B805" s="17">
        <v>32</v>
      </c>
      <c r="C805" s="17" t="s">
        <v>596</v>
      </c>
      <c r="D805" s="17" t="s">
        <v>791</v>
      </c>
      <c r="E805" s="17" t="s">
        <v>795</v>
      </c>
      <c r="F805" s="17">
        <v>221</v>
      </c>
      <c r="G805" s="17">
        <v>8</v>
      </c>
      <c r="H805" s="17" t="str">
        <f>INDEX(Employees!$B$2:$B$17,MATCH(B805,Employees!$A$2:$A$17,0))</f>
        <v>Sawyer</v>
      </c>
      <c r="I805" s="17" t="str">
        <f>INDEX(Employees!$C$2:$C$17,MATCH(B805,Employees!$A$2:$A$17,0))</f>
        <v>Shift Supervisor</v>
      </c>
      <c r="J805" s="25">
        <f t="shared" si="24"/>
        <v>27.625</v>
      </c>
      <c r="K805" s="19">
        <f>IF(J805=0,0,J805/INDEX('Labor Dashboard'!$C$36:$C$39,MATCH(E805,'Labor Dashboard'!$B$36:$B$39,0)))</f>
        <v>0.92083333333333328</v>
      </c>
      <c r="L805" s="18">
        <f t="shared" si="25"/>
        <v>11</v>
      </c>
      <c r="M805" s="20">
        <f>G805*INDEX(Employees!$E$2:$E$17,MATCH(B805,Employees!$A$2:$A$17,0))</f>
        <v>192</v>
      </c>
    </row>
    <row r="806" spans="1:13" ht="18" x14ac:dyDescent="0.2">
      <c r="A806" s="17">
        <v>1692</v>
      </c>
      <c r="B806" s="17">
        <v>18</v>
      </c>
      <c r="C806" s="17" t="s">
        <v>573</v>
      </c>
      <c r="D806" s="17" t="s">
        <v>793</v>
      </c>
      <c r="E806" s="17" t="s">
        <v>792</v>
      </c>
      <c r="F806" s="17">
        <v>461</v>
      </c>
      <c r="G806" s="17">
        <v>7.3</v>
      </c>
      <c r="H806" s="17" t="str">
        <f>INDEX(Employees!$B$2:$B$17,MATCH(B806,Employees!$A$2:$A$17,0))</f>
        <v>Casey</v>
      </c>
      <c r="I806" s="17" t="str">
        <f>INDEX(Employees!$C$2:$C$17,MATCH(B806,Employees!$A$2:$A$17,0))</f>
        <v>Picker</v>
      </c>
      <c r="J806" s="25">
        <f t="shared" si="24"/>
        <v>63.150684931506852</v>
      </c>
      <c r="K806" s="19">
        <f>IF(J806=0,0,J806/INDEX('Labor Dashboard'!$C$36:$C$39,MATCH(E806,'Labor Dashboard'!$B$36:$B$39,0)))</f>
        <v>1.1481942714819429</v>
      </c>
      <c r="L806" s="18">
        <f t="shared" si="25"/>
        <v>11</v>
      </c>
      <c r="M806" s="20">
        <f>G806*INDEX(Employees!$E$2:$E$17,MATCH(B806,Employees!$A$2:$A$17,0))</f>
        <v>124.1</v>
      </c>
    </row>
    <row r="807" spans="1:13" ht="18" x14ac:dyDescent="0.2">
      <c r="A807" s="17">
        <v>1693</v>
      </c>
      <c r="B807" s="17">
        <v>19</v>
      </c>
      <c r="C807" s="17" t="s">
        <v>573</v>
      </c>
      <c r="D807" s="17" t="s">
        <v>791</v>
      </c>
      <c r="E807" s="17" t="s">
        <v>792</v>
      </c>
      <c r="F807" s="17">
        <v>494</v>
      </c>
      <c r="G807" s="17">
        <v>8.1</v>
      </c>
      <c r="H807" s="17" t="str">
        <f>INDEX(Employees!$B$2:$B$17,MATCH(B807,Employees!$A$2:$A$17,0))</f>
        <v>Morgan</v>
      </c>
      <c r="I807" s="17" t="str">
        <f>INDEX(Employees!$C$2:$C$17,MATCH(B807,Employees!$A$2:$A$17,0))</f>
        <v>Picker</v>
      </c>
      <c r="J807" s="25">
        <f t="shared" si="24"/>
        <v>60.987654320987659</v>
      </c>
      <c r="K807" s="19">
        <f>IF(J807=0,0,J807/INDEX('Labor Dashboard'!$C$36:$C$39,MATCH(E807,'Labor Dashboard'!$B$36:$B$39,0)))</f>
        <v>1.1088664421997756</v>
      </c>
      <c r="L807" s="18">
        <f t="shared" si="25"/>
        <v>11</v>
      </c>
      <c r="M807" s="20">
        <f>G807*INDEX(Employees!$E$2:$E$17,MATCH(B807,Employees!$A$2:$A$17,0))</f>
        <v>137.69999999999999</v>
      </c>
    </row>
    <row r="808" spans="1:13" ht="18" x14ac:dyDescent="0.2">
      <c r="A808" s="17">
        <v>1694</v>
      </c>
      <c r="B808" s="17">
        <v>20</v>
      </c>
      <c r="C808" s="17" t="s">
        <v>573</v>
      </c>
      <c r="D808" s="17" t="s">
        <v>793</v>
      </c>
      <c r="E808" s="17" t="s">
        <v>792</v>
      </c>
      <c r="F808" s="17">
        <v>429</v>
      </c>
      <c r="G808" s="17">
        <v>7.2</v>
      </c>
      <c r="H808" s="17" t="str">
        <f>INDEX(Employees!$B$2:$B$17,MATCH(B808,Employees!$A$2:$A$17,0))</f>
        <v>Taylor</v>
      </c>
      <c r="I808" s="17" t="str">
        <f>INDEX(Employees!$C$2:$C$17,MATCH(B808,Employees!$A$2:$A$17,0))</f>
        <v>Picker</v>
      </c>
      <c r="J808" s="25">
        <f t="shared" si="24"/>
        <v>59.583333333333329</v>
      </c>
      <c r="K808" s="19">
        <f>IF(J808=0,0,J808/INDEX('Labor Dashboard'!$C$36:$C$39,MATCH(E808,'Labor Dashboard'!$B$36:$B$39,0)))</f>
        <v>1.0833333333333333</v>
      </c>
      <c r="L808" s="18">
        <f t="shared" si="25"/>
        <v>11</v>
      </c>
      <c r="M808" s="20">
        <f>G808*INDEX(Employees!$E$2:$E$17,MATCH(B808,Employees!$A$2:$A$17,0))</f>
        <v>122.4</v>
      </c>
    </row>
    <row r="809" spans="1:13" ht="18" x14ac:dyDescent="0.2">
      <c r="A809" s="17">
        <v>1695</v>
      </c>
      <c r="B809" s="17">
        <v>22</v>
      </c>
      <c r="C809" s="17" t="s">
        <v>573</v>
      </c>
      <c r="D809" s="17" t="s">
        <v>791</v>
      </c>
      <c r="E809" s="17" t="s">
        <v>794</v>
      </c>
      <c r="F809" s="17">
        <v>340</v>
      </c>
      <c r="G809" s="17">
        <v>6.9</v>
      </c>
      <c r="H809" s="17" t="str">
        <f>INDEX(Employees!$B$2:$B$17,MATCH(B809,Employees!$A$2:$A$17,0))</f>
        <v>Avery</v>
      </c>
      <c r="I809" s="17" t="str">
        <f>INDEX(Employees!$C$2:$C$17,MATCH(B809,Employees!$A$2:$A$17,0))</f>
        <v>Packer</v>
      </c>
      <c r="J809" s="25">
        <f t="shared" si="24"/>
        <v>49.275362318840578</v>
      </c>
      <c r="K809" s="19">
        <f>IF(J809=0,0,J809/INDEX('Labor Dashboard'!$C$36:$C$39,MATCH(E809,'Labor Dashboard'!$B$36:$B$39,0)))</f>
        <v>1.0950080515297906</v>
      </c>
      <c r="L809" s="18">
        <f t="shared" si="25"/>
        <v>11</v>
      </c>
      <c r="M809" s="20">
        <f>G809*INDEX(Employees!$E$2:$E$17,MATCH(B809,Employees!$A$2:$A$17,0))</f>
        <v>117.30000000000001</v>
      </c>
    </row>
    <row r="810" spans="1:13" ht="18" x14ac:dyDescent="0.2">
      <c r="A810" s="17">
        <v>1696</v>
      </c>
      <c r="B810" s="17">
        <v>23</v>
      </c>
      <c r="C810" s="17" t="s">
        <v>573</v>
      </c>
      <c r="D810" s="17" t="s">
        <v>793</v>
      </c>
      <c r="E810" s="17" t="s">
        <v>794</v>
      </c>
      <c r="F810" s="17">
        <v>358</v>
      </c>
      <c r="G810" s="17">
        <v>7.5</v>
      </c>
      <c r="H810" s="17" t="str">
        <f>INDEX(Employees!$B$2:$B$17,MATCH(B810,Employees!$A$2:$A$17,0))</f>
        <v>Cameron</v>
      </c>
      <c r="I810" s="17" t="str">
        <f>INDEX(Employees!$C$2:$C$17,MATCH(B810,Employees!$A$2:$A$17,0))</f>
        <v>Packer</v>
      </c>
      <c r="J810" s="25">
        <f t="shared" si="24"/>
        <v>47.733333333333334</v>
      </c>
      <c r="K810" s="19">
        <f>IF(J810=0,0,J810/INDEX('Labor Dashboard'!$C$36:$C$39,MATCH(E810,'Labor Dashboard'!$B$36:$B$39,0)))</f>
        <v>1.0607407407407408</v>
      </c>
      <c r="L810" s="18">
        <f t="shared" si="25"/>
        <v>11</v>
      </c>
      <c r="M810" s="20">
        <f>G810*INDEX(Employees!$E$2:$E$17,MATCH(B810,Employees!$A$2:$A$17,0))</f>
        <v>127.5</v>
      </c>
    </row>
    <row r="811" spans="1:13" ht="18" x14ac:dyDescent="0.2">
      <c r="A811" s="17">
        <v>1697</v>
      </c>
      <c r="B811" s="17">
        <v>24</v>
      </c>
      <c r="C811" s="17" t="s">
        <v>573</v>
      </c>
      <c r="D811" s="17" t="s">
        <v>791</v>
      </c>
      <c r="E811" s="17" t="s">
        <v>795</v>
      </c>
      <c r="F811" s="17">
        <v>248</v>
      </c>
      <c r="G811" s="17">
        <v>8</v>
      </c>
      <c r="H811" s="17" t="str">
        <f>INDEX(Employees!$B$2:$B$17,MATCH(B811,Employees!$A$2:$A$17,0))</f>
        <v>Dakota</v>
      </c>
      <c r="I811" s="17" t="str">
        <f>INDEX(Employees!$C$2:$C$17,MATCH(B811,Employees!$A$2:$A$17,0))</f>
        <v>Forklift Operator</v>
      </c>
      <c r="J811" s="25">
        <f t="shared" si="24"/>
        <v>31</v>
      </c>
      <c r="K811" s="19">
        <f>IF(J811=0,0,J811/INDEX('Labor Dashboard'!$C$36:$C$39,MATCH(E811,'Labor Dashboard'!$B$36:$B$39,0)))</f>
        <v>1.0333333333333334</v>
      </c>
      <c r="L811" s="18">
        <f t="shared" si="25"/>
        <v>11</v>
      </c>
      <c r="M811" s="20">
        <f>G811*INDEX(Employees!$E$2:$E$17,MATCH(B811,Employees!$A$2:$A$17,0))</f>
        <v>156</v>
      </c>
    </row>
    <row r="812" spans="1:13" ht="18" x14ac:dyDescent="0.2">
      <c r="A812" s="17">
        <v>1698</v>
      </c>
      <c r="B812" s="17">
        <v>25</v>
      </c>
      <c r="C812" s="17" t="s">
        <v>573</v>
      </c>
      <c r="D812" s="17" t="s">
        <v>791</v>
      </c>
      <c r="E812" s="17" t="s">
        <v>792</v>
      </c>
      <c r="F812" s="17">
        <v>479</v>
      </c>
      <c r="G812" s="17">
        <v>8.5</v>
      </c>
      <c r="H812" s="17" t="str">
        <f>INDEX(Employees!$B$2:$B$17,MATCH(B812,Employees!$A$2:$A$17,0))</f>
        <v>Hayden</v>
      </c>
      <c r="I812" s="17" t="str">
        <f>INDEX(Employees!$C$2:$C$17,MATCH(B812,Employees!$A$2:$A$17,0))</f>
        <v>Forklift Operator</v>
      </c>
      <c r="J812" s="25">
        <f t="shared" si="24"/>
        <v>56.352941176470587</v>
      </c>
      <c r="K812" s="19">
        <f>IF(J812=0,0,J812/INDEX('Labor Dashboard'!$C$36:$C$39,MATCH(E812,'Labor Dashboard'!$B$36:$B$39,0)))</f>
        <v>1.0245989304812835</v>
      </c>
      <c r="L812" s="18">
        <f t="shared" si="25"/>
        <v>11</v>
      </c>
      <c r="M812" s="20">
        <f>G812*INDEX(Employees!$E$2:$E$17,MATCH(B812,Employees!$A$2:$A$17,0))</f>
        <v>165.75</v>
      </c>
    </row>
    <row r="813" spans="1:13" ht="18" x14ac:dyDescent="0.2">
      <c r="A813" s="17">
        <v>1699</v>
      </c>
      <c r="B813" s="17">
        <v>26</v>
      </c>
      <c r="C813" s="17" t="s">
        <v>573</v>
      </c>
      <c r="D813" s="17" t="s">
        <v>791</v>
      </c>
      <c r="E813" s="17" t="s">
        <v>795</v>
      </c>
      <c r="F813" s="17">
        <v>202</v>
      </c>
      <c r="G813" s="17">
        <v>7.1</v>
      </c>
      <c r="H813" s="17" t="str">
        <f>INDEX(Employees!$B$2:$B$17,MATCH(B813,Employees!$A$2:$A$17,0))</f>
        <v>Reese</v>
      </c>
      <c r="I813" s="17" t="str">
        <f>INDEX(Employees!$C$2:$C$17,MATCH(B813,Employees!$A$2:$A$17,0))</f>
        <v>Receiving Clerk</v>
      </c>
      <c r="J813" s="25">
        <f t="shared" si="24"/>
        <v>28.450704225352116</v>
      </c>
      <c r="K813" s="19">
        <f>IF(J813=0,0,J813/INDEX('Labor Dashboard'!$C$36:$C$39,MATCH(E813,'Labor Dashboard'!$B$36:$B$39,0)))</f>
        <v>0.94835680751173723</v>
      </c>
      <c r="L813" s="18">
        <f t="shared" si="25"/>
        <v>11</v>
      </c>
      <c r="M813" s="20">
        <f>G813*INDEX(Employees!$E$2:$E$17,MATCH(B813,Employees!$A$2:$A$17,0))</f>
        <v>127.8</v>
      </c>
    </row>
    <row r="814" spans="1:13" ht="18" x14ac:dyDescent="0.2">
      <c r="A814" s="17">
        <v>1700</v>
      </c>
      <c r="B814" s="17">
        <v>27</v>
      </c>
      <c r="C814" s="17" t="s">
        <v>573</v>
      </c>
      <c r="D814" s="17" t="s">
        <v>791</v>
      </c>
      <c r="E814" s="17" t="s">
        <v>795</v>
      </c>
      <c r="F814" s="17">
        <v>170</v>
      </c>
      <c r="G814" s="17">
        <v>7.2</v>
      </c>
      <c r="H814" s="17" t="str">
        <f>INDEX(Employees!$B$2:$B$17,MATCH(B814,Employees!$A$2:$A$17,0))</f>
        <v>Skyler</v>
      </c>
      <c r="I814" s="17" t="str">
        <f>INDEX(Employees!$C$2:$C$17,MATCH(B814,Employees!$A$2:$A$17,0))</f>
        <v>Receiving Clerk</v>
      </c>
      <c r="J814" s="25">
        <f t="shared" si="24"/>
        <v>23.611111111111111</v>
      </c>
      <c r="K814" s="19">
        <f>IF(J814=0,0,J814/INDEX('Labor Dashboard'!$C$36:$C$39,MATCH(E814,'Labor Dashboard'!$B$36:$B$39,0)))</f>
        <v>0.78703703703703698</v>
      </c>
      <c r="L814" s="18">
        <f t="shared" si="25"/>
        <v>11</v>
      </c>
      <c r="M814" s="20">
        <f>G814*INDEX(Employees!$E$2:$E$17,MATCH(B814,Employees!$A$2:$A$17,0))</f>
        <v>129.6</v>
      </c>
    </row>
    <row r="815" spans="1:13" ht="18" x14ac:dyDescent="0.2">
      <c r="A815" s="17">
        <v>1701</v>
      </c>
      <c r="B815" s="17">
        <v>28</v>
      </c>
      <c r="C815" s="17" t="s">
        <v>573</v>
      </c>
      <c r="D815" s="17" t="s">
        <v>793</v>
      </c>
      <c r="E815" s="17" t="s">
        <v>796</v>
      </c>
      <c r="F815" s="17">
        <v>162</v>
      </c>
      <c r="G815" s="17">
        <v>6.9</v>
      </c>
      <c r="H815" s="17" t="str">
        <f>INDEX(Employees!$B$2:$B$17,MATCH(B815,Employees!$A$2:$A$17,0))</f>
        <v>Peyton</v>
      </c>
      <c r="I815" s="17" t="str">
        <f>INDEX(Employees!$C$2:$C$17,MATCH(B815,Employees!$A$2:$A$17,0))</f>
        <v>Cycle Counter</v>
      </c>
      <c r="J815" s="25">
        <f t="shared" si="24"/>
        <v>23.478260869565215</v>
      </c>
      <c r="K815" s="19">
        <f>IF(J815=0,0,J815/INDEX('Labor Dashboard'!$C$36:$C$39,MATCH(E815,'Labor Dashboard'!$B$36:$B$39,0)))</f>
        <v>0.9391304347826086</v>
      </c>
      <c r="L815" s="18">
        <f t="shared" si="25"/>
        <v>11</v>
      </c>
      <c r="M815" s="20">
        <f>G815*INDEX(Employees!$E$2:$E$17,MATCH(B815,Employees!$A$2:$A$17,0))</f>
        <v>124.2</v>
      </c>
    </row>
    <row r="816" spans="1:13" ht="18" x14ac:dyDescent="0.2">
      <c r="A816" s="17">
        <v>1702</v>
      </c>
      <c r="B816" s="17">
        <v>29</v>
      </c>
      <c r="C816" s="17" t="s">
        <v>573</v>
      </c>
      <c r="D816" s="17" t="s">
        <v>791</v>
      </c>
      <c r="E816" s="17" t="s">
        <v>796</v>
      </c>
      <c r="F816" s="17">
        <v>209</v>
      </c>
      <c r="G816" s="17">
        <v>7.7</v>
      </c>
      <c r="H816" s="17" t="str">
        <f>INDEX(Employees!$B$2:$B$17,MATCH(B816,Employees!$A$2:$A$17,0))</f>
        <v>Rowan</v>
      </c>
      <c r="I816" s="17" t="str">
        <f>INDEX(Employees!$C$2:$C$17,MATCH(B816,Employees!$A$2:$A$17,0))</f>
        <v>Cycle Counter</v>
      </c>
      <c r="J816" s="25">
        <f t="shared" si="24"/>
        <v>27.142857142857142</v>
      </c>
      <c r="K816" s="19">
        <f>IF(J816=0,0,J816/INDEX('Labor Dashboard'!$C$36:$C$39,MATCH(E816,'Labor Dashboard'!$B$36:$B$39,0)))</f>
        <v>1.0857142857142856</v>
      </c>
      <c r="L816" s="18">
        <f t="shared" si="25"/>
        <v>11</v>
      </c>
      <c r="M816" s="20">
        <f>G816*INDEX(Employees!$E$2:$E$17,MATCH(B816,Employees!$A$2:$A$17,0))</f>
        <v>138.6</v>
      </c>
    </row>
    <row r="817" spans="1:13" ht="18" x14ac:dyDescent="0.2">
      <c r="A817" s="17">
        <v>1703</v>
      </c>
      <c r="B817" s="17">
        <v>30</v>
      </c>
      <c r="C817" s="17" t="s">
        <v>573</v>
      </c>
      <c r="D817" s="17" t="s">
        <v>791</v>
      </c>
      <c r="E817" s="17" t="s">
        <v>796</v>
      </c>
      <c r="F817" s="17">
        <v>152</v>
      </c>
      <c r="G817" s="17">
        <v>7</v>
      </c>
      <c r="H817" s="17" t="str">
        <f>INDEX(Employees!$B$2:$B$17,MATCH(B817,Employees!$A$2:$A$17,0))</f>
        <v>Emerson</v>
      </c>
      <c r="I817" s="17" t="str">
        <f>INDEX(Employees!$C$2:$C$17,MATCH(B817,Employees!$A$2:$A$17,0))</f>
        <v>Shift Supervisor</v>
      </c>
      <c r="J817" s="25">
        <f t="shared" si="24"/>
        <v>21.714285714285715</v>
      </c>
      <c r="K817" s="19">
        <f>IF(J817=0,0,J817/INDEX('Labor Dashboard'!$C$36:$C$39,MATCH(E817,'Labor Dashboard'!$B$36:$B$39,0)))</f>
        <v>0.86857142857142866</v>
      </c>
      <c r="L817" s="18">
        <f t="shared" si="25"/>
        <v>11</v>
      </c>
      <c r="M817" s="20">
        <f>G817*INDEX(Employees!$E$2:$E$17,MATCH(B817,Employees!$A$2:$A$17,0))</f>
        <v>168</v>
      </c>
    </row>
    <row r="818" spans="1:13" ht="18" x14ac:dyDescent="0.2">
      <c r="A818" s="17">
        <v>1704</v>
      </c>
      <c r="B818" s="17">
        <v>31</v>
      </c>
      <c r="C818" s="17" t="s">
        <v>573</v>
      </c>
      <c r="D818" s="17" t="s">
        <v>791</v>
      </c>
      <c r="E818" s="17" t="s">
        <v>795</v>
      </c>
      <c r="F818" s="17">
        <v>208</v>
      </c>
      <c r="G818" s="17">
        <v>6.5</v>
      </c>
      <c r="H818" s="17" t="str">
        <f>INDEX(Employees!$B$2:$B$17,MATCH(B818,Employees!$A$2:$A$17,0))</f>
        <v>Finley</v>
      </c>
      <c r="I818" s="17" t="str">
        <f>INDEX(Employees!$C$2:$C$17,MATCH(B818,Employees!$A$2:$A$17,0))</f>
        <v>Shift Supervisor</v>
      </c>
      <c r="J818" s="25">
        <f t="shared" si="24"/>
        <v>32</v>
      </c>
      <c r="K818" s="19">
        <f>IF(J818=0,0,J818/INDEX('Labor Dashboard'!$C$36:$C$39,MATCH(E818,'Labor Dashboard'!$B$36:$B$39,0)))</f>
        <v>1.0666666666666667</v>
      </c>
      <c r="L818" s="18">
        <f t="shared" si="25"/>
        <v>11</v>
      </c>
      <c r="M818" s="20">
        <f>G818*INDEX(Employees!$E$2:$E$17,MATCH(B818,Employees!$A$2:$A$17,0))</f>
        <v>156</v>
      </c>
    </row>
    <row r="819" spans="1:13" ht="18" x14ac:dyDescent="0.2">
      <c r="A819" s="17">
        <v>1705</v>
      </c>
      <c r="B819" s="17">
        <v>32</v>
      </c>
      <c r="C819" s="17" t="s">
        <v>573</v>
      </c>
      <c r="D819" s="17" t="s">
        <v>793</v>
      </c>
      <c r="E819" s="17" t="s">
        <v>792</v>
      </c>
      <c r="F819" s="17">
        <v>341</v>
      </c>
      <c r="G819" s="17">
        <v>7.5</v>
      </c>
      <c r="H819" s="17" t="str">
        <f>INDEX(Employees!$B$2:$B$17,MATCH(B819,Employees!$A$2:$A$17,0))</f>
        <v>Sawyer</v>
      </c>
      <c r="I819" s="17" t="str">
        <f>INDEX(Employees!$C$2:$C$17,MATCH(B819,Employees!$A$2:$A$17,0))</f>
        <v>Shift Supervisor</v>
      </c>
      <c r="J819" s="25">
        <f t="shared" si="24"/>
        <v>45.466666666666669</v>
      </c>
      <c r="K819" s="19">
        <f>IF(J819=0,0,J819/INDEX('Labor Dashboard'!$C$36:$C$39,MATCH(E819,'Labor Dashboard'!$B$36:$B$39,0)))</f>
        <v>0.82666666666666666</v>
      </c>
      <c r="L819" s="18">
        <f t="shared" si="25"/>
        <v>11</v>
      </c>
      <c r="M819" s="20">
        <f>G819*INDEX(Employees!$E$2:$E$17,MATCH(B819,Employees!$A$2:$A$17,0))</f>
        <v>180</v>
      </c>
    </row>
    <row r="820" spans="1:13" ht="18" x14ac:dyDescent="0.2">
      <c r="A820" s="17">
        <v>1706</v>
      </c>
      <c r="B820" s="17">
        <v>17</v>
      </c>
      <c r="C820" s="17" t="s">
        <v>184</v>
      </c>
      <c r="D820" s="17" t="s">
        <v>793</v>
      </c>
      <c r="E820" s="17" t="s">
        <v>792</v>
      </c>
      <c r="F820" s="17">
        <v>327</v>
      </c>
      <c r="G820" s="17">
        <v>7.4</v>
      </c>
      <c r="H820" s="17" t="str">
        <f>INDEX(Employees!$B$2:$B$17,MATCH(B820,Employees!$A$2:$A$17,0))</f>
        <v>Jordan</v>
      </c>
      <c r="I820" s="17" t="str">
        <f>INDEX(Employees!$C$2:$C$17,MATCH(B820,Employees!$A$2:$A$17,0))</f>
        <v>Picker</v>
      </c>
      <c r="J820" s="25">
        <f t="shared" si="24"/>
        <v>44.189189189189186</v>
      </c>
      <c r="K820" s="19">
        <f>IF(J820=0,0,J820/INDEX('Labor Dashboard'!$C$36:$C$39,MATCH(E820,'Labor Dashboard'!$B$36:$B$39,0)))</f>
        <v>0.80343980343980337</v>
      </c>
      <c r="L820" s="18">
        <f t="shared" si="25"/>
        <v>12</v>
      </c>
      <c r="M820" s="20">
        <f>G820*INDEX(Employees!$E$2:$E$17,MATCH(B820,Employees!$A$2:$A$17,0))</f>
        <v>125.80000000000001</v>
      </c>
    </row>
    <row r="821" spans="1:13" ht="18" x14ac:dyDescent="0.2">
      <c r="A821" s="17">
        <v>1707</v>
      </c>
      <c r="B821" s="17">
        <v>19</v>
      </c>
      <c r="C821" s="17" t="s">
        <v>184</v>
      </c>
      <c r="D821" s="17" t="s">
        <v>791</v>
      </c>
      <c r="E821" s="17" t="s">
        <v>792</v>
      </c>
      <c r="F821" s="17">
        <v>439</v>
      </c>
      <c r="G821" s="17">
        <v>7.3</v>
      </c>
      <c r="H821" s="17" t="str">
        <f>INDEX(Employees!$B$2:$B$17,MATCH(B821,Employees!$A$2:$A$17,0))</f>
        <v>Morgan</v>
      </c>
      <c r="I821" s="17" t="str">
        <f>INDEX(Employees!$C$2:$C$17,MATCH(B821,Employees!$A$2:$A$17,0))</f>
        <v>Picker</v>
      </c>
      <c r="J821" s="25">
        <f t="shared" si="24"/>
        <v>60.136986301369866</v>
      </c>
      <c r="K821" s="19">
        <f>IF(J821=0,0,J821/INDEX('Labor Dashboard'!$C$36:$C$39,MATCH(E821,'Labor Dashboard'!$B$36:$B$39,0)))</f>
        <v>1.0933997509339977</v>
      </c>
      <c r="L821" s="18">
        <f t="shared" si="25"/>
        <v>12</v>
      </c>
      <c r="M821" s="20">
        <f>G821*INDEX(Employees!$E$2:$E$17,MATCH(B821,Employees!$A$2:$A$17,0))</f>
        <v>124.1</v>
      </c>
    </row>
    <row r="822" spans="1:13" ht="18" x14ac:dyDescent="0.2">
      <c r="A822" s="17">
        <v>1708</v>
      </c>
      <c r="B822" s="17">
        <v>21</v>
      </c>
      <c r="C822" s="17" t="s">
        <v>184</v>
      </c>
      <c r="D822" s="17" t="s">
        <v>793</v>
      </c>
      <c r="E822" s="17" t="s">
        <v>794</v>
      </c>
      <c r="F822" s="17">
        <v>318</v>
      </c>
      <c r="G822" s="17">
        <v>8</v>
      </c>
      <c r="H822" s="17" t="str">
        <f>INDEX(Employees!$B$2:$B$17,MATCH(B822,Employees!$A$2:$A$17,0))</f>
        <v>Riley</v>
      </c>
      <c r="I822" s="17" t="str">
        <f>INDEX(Employees!$C$2:$C$17,MATCH(B822,Employees!$A$2:$A$17,0))</f>
        <v>Packer</v>
      </c>
      <c r="J822" s="25">
        <f t="shared" si="24"/>
        <v>39.75</v>
      </c>
      <c r="K822" s="19">
        <f>IF(J822=0,0,J822/INDEX('Labor Dashboard'!$C$36:$C$39,MATCH(E822,'Labor Dashboard'!$B$36:$B$39,0)))</f>
        <v>0.8833333333333333</v>
      </c>
      <c r="L822" s="18">
        <f t="shared" si="25"/>
        <v>12</v>
      </c>
      <c r="M822" s="20">
        <f>G822*INDEX(Employees!$E$2:$E$17,MATCH(B822,Employees!$A$2:$A$17,0))</f>
        <v>136</v>
      </c>
    </row>
    <row r="823" spans="1:13" ht="18" x14ac:dyDescent="0.2">
      <c r="A823" s="17">
        <v>1709</v>
      </c>
      <c r="B823" s="17">
        <v>22</v>
      </c>
      <c r="C823" s="17" t="s">
        <v>184</v>
      </c>
      <c r="D823" s="17" t="s">
        <v>791</v>
      </c>
      <c r="E823" s="17" t="s">
        <v>794</v>
      </c>
      <c r="F823" s="17">
        <v>355</v>
      </c>
      <c r="G823" s="17">
        <v>7.4</v>
      </c>
      <c r="H823" s="17" t="str">
        <f>INDEX(Employees!$B$2:$B$17,MATCH(B823,Employees!$A$2:$A$17,0))</f>
        <v>Avery</v>
      </c>
      <c r="I823" s="17" t="str">
        <f>INDEX(Employees!$C$2:$C$17,MATCH(B823,Employees!$A$2:$A$17,0))</f>
        <v>Packer</v>
      </c>
      <c r="J823" s="25">
        <f t="shared" si="24"/>
        <v>47.972972972972968</v>
      </c>
      <c r="K823" s="19">
        <f>IF(J823=0,0,J823/INDEX('Labor Dashboard'!$C$36:$C$39,MATCH(E823,'Labor Dashboard'!$B$36:$B$39,0)))</f>
        <v>1.0660660660660659</v>
      </c>
      <c r="L823" s="18">
        <f t="shared" si="25"/>
        <v>12</v>
      </c>
      <c r="M823" s="20">
        <f>G823*INDEX(Employees!$E$2:$E$17,MATCH(B823,Employees!$A$2:$A$17,0))</f>
        <v>125.80000000000001</v>
      </c>
    </row>
    <row r="824" spans="1:13" ht="18" x14ac:dyDescent="0.2">
      <c r="A824" s="17">
        <v>1710</v>
      </c>
      <c r="B824" s="17">
        <v>23</v>
      </c>
      <c r="C824" s="17" t="s">
        <v>184</v>
      </c>
      <c r="D824" s="17" t="s">
        <v>791</v>
      </c>
      <c r="E824" s="17" t="s">
        <v>794</v>
      </c>
      <c r="F824" s="17">
        <v>363</v>
      </c>
      <c r="G824" s="17">
        <v>8</v>
      </c>
      <c r="H824" s="17" t="str">
        <f>INDEX(Employees!$B$2:$B$17,MATCH(B824,Employees!$A$2:$A$17,0))</f>
        <v>Cameron</v>
      </c>
      <c r="I824" s="17" t="str">
        <f>INDEX(Employees!$C$2:$C$17,MATCH(B824,Employees!$A$2:$A$17,0))</f>
        <v>Packer</v>
      </c>
      <c r="J824" s="25">
        <f t="shared" si="24"/>
        <v>45.375</v>
      </c>
      <c r="K824" s="19">
        <f>IF(J824=0,0,J824/INDEX('Labor Dashboard'!$C$36:$C$39,MATCH(E824,'Labor Dashboard'!$B$36:$B$39,0)))</f>
        <v>1.0083333333333333</v>
      </c>
      <c r="L824" s="18">
        <f t="shared" si="25"/>
        <v>12</v>
      </c>
      <c r="M824" s="20">
        <f>G824*INDEX(Employees!$E$2:$E$17,MATCH(B824,Employees!$A$2:$A$17,0))</f>
        <v>136</v>
      </c>
    </row>
    <row r="825" spans="1:13" ht="18" x14ac:dyDescent="0.2">
      <c r="A825" s="17">
        <v>1711</v>
      </c>
      <c r="B825" s="17">
        <v>24</v>
      </c>
      <c r="C825" s="17" t="s">
        <v>184</v>
      </c>
      <c r="D825" s="17" t="s">
        <v>793</v>
      </c>
      <c r="E825" s="17" t="s">
        <v>795</v>
      </c>
      <c r="F825" s="17">
        <v>232</v>
      </c>
      <c r="G825" s="17">
        <v>8.4</v>
      </c>
      <c r="H825" s="17" t="str">
        <f>INDEX(Employees!$B$2:$B$17,MATCH(B825,Employees!$A$2:$A$17,0))</f>
        <v>Dakota</v>
      </c>
      <c r="I825" s="17" t="str">
        <f>INDEX(Employees!$C$2:$C$17,MATCH(B825,Employees!$A$2:$A$17,0))</f>
        <v>Forklift Operator</v>
      </c>
      <c r="J825" s="25">
        <f t="shared" si="24"/>
        <v>27.619047619047617</v>
      </c>
      <c r="K825" s="19">
        <f>IF(J825=0,0,J825/INDEX('Labor Dashboard'!$C$36:$C$39,MATCH(E825,'Labor Dashboard'!$B$36:$B$39,0)))</f>
        <v>0.92063492063492058</v>
      </c>
      <c r="L825" s="18">
        <f t="shared" si="25"/>
        <v>12</v>
      </c>
      <c r="M825" s="20">
        <f>G825*INDEX(Employees!$E$2:$E$17,MATCH(B825,Employees!$A$2:$A$17,0))</f>
        <v>163.80000000000001</v>
      </c>
    </row>
    <row r="826" spans="1:13" ht="18" x14ac:dyDescent="0.2">
      <c r="A826" s="17">
        <v>1712</v>
      </c>
      <c r="B826" s="17">
        <v>25</v>
      </c>
      <c r="C826" s="17" t="s">
        <v>184</v>
      </c>
      <c r="D826" s="17" t="s">
        <v>791</v>
      </c>
      <c r="E826" s="17" t="s">
        <v>795</v>
      </c>
      <c r="F826" s="17">
        <v>225</v>
      </c>
      <c r="G826" s="17">
        <v>7.2</v>
      </c>
      <c r="H826" s="17" t="str">
        <f>INDEX(Employees!$B$2:$B$17,MATCH(B826,Employees!$A$2:$A$17,0))</f>
        <v>Hayden</v>
      </c>
      <c r="I826" s="17" t="str">
        <f>INDEX(Employees!$C$2:$C$17,MATCH(B826,Employees!$A$2:$A$17,0))</f>
        <v>Forklift Operator</v>
      </c>
      <c r="J826" s="25">
        <f t="shared" si="24"/>
        <v>31.25</v>
      </c>
      <c r="K826" s="19">
        <f>IF(J826=0,0,J826/INDEX('Labor Dashboard'!$C$36:$C$39,MATCH(E826,'Labor Dashboard'!$B$36:$B$39,0)))</f>
        <v>1.0416666666666667</v>
      </c>
      <c r="L826" s="18">
        <f t="shared" si="25"/>
        <v>12</v>
      </c>
      <c r="M826" s="20">
        <f>G826*INDEX(Employees!$E$2:$E$17,MATCH(B826,Employees!$A$2:$A$17,0))</f>
        <v>140.4</v>
      </c>
    </row>
    <row r="827" spans="1:13" ht="18" x14ac:dyDescent="0.2">
      <c r="A827" s="17">
        <v>1713</v>
      </c>
      <c r="B827" s="17">
        <v>26</v>
      </c>
      <c r="C827" s="17" t="s">
        <v>184</v>
      </c>
      <c r="D827" s="17" t="s">
        <v>793</v>
      </c>
      <c r="E827" s="17" t="s">
        <v>795</v>
      </c>
      <c r="F827" s="17">
        <v>216</v>
      </c>
      <c r="G827" s="17">
        <v>7.3</v>
      </c>
      <c r="H827" s="17" t="str">
        <f>INDEX(Employees!$B$2:$B$17,MATCH(B827,Employees!$A$2:$A$17,0))</f>
        <v>Reese</v>
      </c>
      <c r="I827" s="17" t="str">
        <f>INDEX(Employees!$C$2:$C$17,MATCH(B827,Employees!$A$2:$A$17,0))</f>
        <v>Receiving Clerk</v>
      </c>
      <c r="J827" s="25">
        <f t="shared" si="24"/>
        <v>29.589041095890412</v>
      </c>
      <c r="K827" s="19">
        <f>IF(J827=0,0,J827/INDEX('Labor Dashboard'!$C$36:$C$39,MATCH(E827,'Labor Dashboard'!$B$36:$B$39,0)))</f>
        <v>0.98630136986301375</v>
      </c>
      <c r="L827" s="18">
        <f t="shared" si="25"/>
        <v>12</v>
      </c>
      <c r="M827" s="20">
        <f>G827*INDEX(Employees!$E$2:$E$17,MATCH(B827,Employees!$A$2:$A$17,0))</f>
        <v>131.4</v>
      </c>
    </row>
    <row r="828" spans="1:13" ht="18" x14ac:dyDescent="0.2">
      <c r="A828" s="17">
        <v>1714</v>
      </c>
      <c r="B828" s="17">
        <v>27</v>
      </c>
      <c r="C828" s="17" t="s">
        <v>184</v>
      </c>
      <c r="D828" s="17" t="s">
        <v>793</v>
      </c>
      <c r="E828" s="17" t="s">
        <v>795</v>
      </c>
      <c r="F828" s="17">
        <v>214</v>
      </c>
      <c r="G828" s="17">
        <v>8.1999999999999993</v>
      </c>
      <c r="H828" s="17" t="str">
        <f>INDEX(Employees!$B$2:$B$17,MATCH(B828,Employees!$A$2:$A$17,0))</f>
        <v>Skyler</v>
      </c>
      <c r="I828" s="17" t="str">
        <f>INDEX(Employees!$C$2:$C$17,MATCH(B828,Employees!$A$2:$A$17,0))</f>
        <v>Receiving Clerk</v>
      </c>
      <c r="J828" s="25">
        <f t="shared" si="24"/>
        <v>26.09756097560976</v>
      </c>
      <c r="K828" s="19">
        <f>IF(J828=0,0,J828/INDEX('Labor Dashboard'!$C$36:$C$39,MATCH(E828,'Labor Dashboard'!$B$36:$B$39,0)))</f>
        <v>0.86991869918699194</v>
      </c>
      <c r="L828" s="18">
        <f t="shared" si="25"/>
        <v>12</v>
      </c>
      <c r="M828" s="20">
        <f>G828*INDEX(Employees!$E$2:$E$17,MATCH(B828,Employees!$A$2:$A$17,0))</f>
        <v>147.6</v>
      </c>
    </row>
    <row r="829" spans="1:13" ht="18" x14ac:dyDescent="0.2">
      <c r="A829" s="17">
        <v>1715</v>
      </c>
      <c r="B829" s="17">
        <v>29</v>
      </c>
      <c r="C829" s="17" t="s">
        <v>184</v>
      </c>
      <c r="D829" s="17" t="s">
        <v>791</v>
      </c>
      <c r="E829" s="17" t="s">
        <v>796</v>
      </c>
      <c r="F829" s="17">
        <v>165</v>
      </c>
      <c r="G829" s="17">
        <v>7.1</v>
      </c>
      <c r="H829" s="17" t="str">
        <f>INDEX(Employees!$B$2:$B$17,MATCH(B829,Employees!$A$2:$A$17,0))</f>
        <v>Rowan</v>
      </c>
      <c r="I829" s="17" t="str">
        <f>INDEX(Employees!$C$2:$C$17,MATCH(B829,Employees!$A$2:$A$17,0))</f>
        <v>Cycle Counter</v>
      </c>
      <c r="J829" s="25">
        <f t="shared" si="24"/>
        <v>23.239436619718312</v>
      </c>
      <c r="K829" s="19">
        <f>IF(J829=0,0,J829/INDEX('Labor Dashboard'!$C$36:$C$39,MATCH(E829,'Labor Dashboard'!$B$36:$B$39,0)))</f>
        <v>0.92957746478873249</v>
      </c>
      <c r="L829" s="18">
        <f t="shared" si="25"/>
        <v>12</v>
      </c>
      <c r="M829" s="20">
        <f>G829*INDEX(Employees!$E$2:$E$17,MATCH(B829,Employees!$A$2:$A$17,0))</f>
        <v>127.8</v>
      </c>
    </row>
    <row r="830" spans="1:13" ht="18" x14ac:dyDescent="0.2">
      <c r="A830" s="17">
        <v>1716</v>
      </c>
      <c r="B830" s="17">
        <v>30</v>
      </c>
      <c r="C830" s="17" t="s">
        <v>184</v>
      </c>
      <c r="D830" s="17" t="s">
        <v>793</v>
      </c>
      <c r="E830" s="17" t="s">
        <v>795</v>
      </c>
      <c r="F830" s="17">
        <v>184</v>
      </c>
      <c r="G830" s="17">
        <v>7.1</v>
      </c>
      <c r="H830" s="17" t="str">
        <f>INDEX(Employees!$B$2:$B$17,MATCH(B830,Employees!$A$2:$A$17,0))</f>
        <v>Emerson</v>
      </c>
      <c r="I830" s="17" t="str">
        <f>INDEX(Employees!$C$2:$C$17,MATCH(B830,Employees!$A$2:$A$17,0))</f>
        <v>Shift Supervisor</v>
      </c>
      <c r="J830" s="25">
        <f t="shared" si="24"/>
        <v>25.91549295774648</v>
      </c>
      <c r="K830" s="19">
        <f>IF(J830=0,0,J830/INDEX('Labor Dashboard'!$C$36:$C$39,MATCH(E830,'Labor Dashboard'!$B$36:$B$39,0)))</f>
        <v>0.863849765258216</v>
      </c>
      <c r="L830" s="18">
        <f t="shared" si="25"/>
        <v>12</v>
      </c>
      <c r="M830" s="20">
        <f>G830*INDEX(Employees!$E$2:$E$17,MATCH(B830,Employees!$A$2:$A$17,0))</f>
        <v>170.39999999999998</v>
      </c>
    </row>
    <row r="831" spans="1:13" ht="18" x14ac:dyDescent="0.2">
      <c r="A831" s="17">
        <v>1717</v>
      </c>
      <c r="B831" s="17">
        <v>31</v>
      </c>
      <c r="C831" s="17" t="s">
        <v>184</v>
      </c>
      <c r="D831" s="17" t="s">
        <v>793</v>
      </c>
      <c r="E831" s="17" t="s">
        <v>792</v>
      </c>
      <c r="F831" s="17">
        <v>513</v>
      </c>
      <c r="G831" s="17">
        <v>8.1999999999999993</v>
      </c>
      <c r="H831" s="17" t="str">
        <f>INDEX(Employees!$B$2:$B$17,MATCH(B831,Employees!$A$2:$A$17,0))</f>
        <v>Finley</v>
      </c>
      <c r="I831" s="17" t="str">
        <f>INDEX(Employees!$C$2:$C$17,MATCH(B831,Employees!$A$2:$A$17,0))</f>
        <v>Shift Supervisor</v>
      </c>
      <c r="J831" s="25">
        <f t="shared" si="24"/>
        <v>62.560975609756106</v>
      </c>
      <c r="K831" s="19">
        <f>IF(J831=0,0,J831/INDEX('Labor Dashboard'!$C$36:$C$39,MATCH(E831,'Labor Dashboard'!$B$36:$B$39,0)))</f>
        <v>1.1374722838137474</v>
      </c>
      <c r="L831" s="18">
        <f t="shared" si="25"/>
        <v>12</v>
      </c>
      <c r="M831" s="20">
        <f>G831*INDEX(Employees!$E$2:$E$17,MATCH(B831,Employees!$A$2:$A$17,0))</f>
        <v>196.79999999999998</v>
      </c>
    </row>
    <row r="832" spans="1:13" ht="18" x14ac:dyDescent="0.2">
      <c r="A832" s="17">
        <v>1718</v>
      </c>
      <c r="B832" s="17">
        <v>17</v>
      </c>
      <c r="C832" s="17" t="s">
        <v>593</v>
      </c>
      <c r="D832" s="17" t="s">
        <v>793</v>
      </c>
      <c r="E832" s="17" t="s">
        <v>792</v>
      </c>
      <c r="F832" s="17">
        <v>339</v>
      </c>
      <c r="G832" s="17">
        <v>6.8</v>
      </c>
      <c r="H832" s="17" t="str">
        <f>INDEX(Employees!$B$2:$B$17,MATCH(B832,Employees!$A$2:$A$17,0))</f>
        <v>Jordan</v>
      </c>
      <c r="I832" s="17" t="str">
        <f>INDEX(Employees!$C$2:$C$17,MATCH(B832,Employees!$A$2:$A$17,0))</f>
        <v>Picker</v>
      </c>
      <c r="J832" s="25">
        <f t="shared" si="24"/>
        <v>49.852941176470587</v>
      </c>
      <c r="K832" s="19">
        <f>IF(J832=0,0,J832/INDEX('Labor Dashboard'!$C$36:$C$39,MATCH(E832,'Labor Dashboard'!$B$36:$B$39,0)))</f>
        <v>0.9064171122994652</v>
      </c>
      <c r="L832" s="18">
        <f t="shared" si="25"/>
        <v>12</v>
      </c>
      <c r="M832" s="20">
        <f>G832*INDEX(Employees!$E$2:$E$17,MATCH(B832,Employees!$A$2:$A$17,0))</f>
        <v>115.6</v>
      </c>
    </row>
    <row r="833" spans="1:13" ht="18" x14ac:dyDescent="0.2">
      <c r="A833" s="17">
        <v>1719</v>
      </c>
      <c r="B833" s="17">
        <v>18</v>
      </c>
      <c r="C833" s="17" t="s">
        <v>593</v>
      </c>
      <c r="D833" s="17" t="s">
        <v>791</v>
      </c>
      <c r="E833" s="17" t="s">
        <v>792</v>
      </c>
      <c r="F833" s="17">
        <v>515</v>
      </c>
      <c r="G833" s="17">
        <v>8.3000000000000007</v>
      </c>
      <c r="H833" s="17" t="str">
        <f>INDEX(Employees!$B$2:$B$17,MATCH(B833,Employees!$A$2:$A$17,0))</f>
        <v>Casey</v>
      </c>
      <c r="I833" s="17" t="str">
        <f>INDEX(Employees!$C$2:$C$17,MATCH(B833,Employees!$A$2:$A$17,0))</f>
        <v>Picker</v>
      </c>
      <c r="J833" s="25">
        <f t="shared" si="24"/>
        <v>62.048192771084331</v>
      </c>
      <c r="K833" s="19">
        <f>IF(J833=0,0,J833/INDEX('Labor Dashboard'!$C$36:$C$39,MATCH(E833,'Labor Dashboard'!$B$36:$B$39,0)))</f>
        <v>1.1281489594742606</v>
      </c>
      <c r="L833" s="18">
        <f t="shared" si="25"/>
        <v>12</v>
      </c>
      <c r="M833" s="20">
        <f>G833*INDEX(Employees!$E$2:$E$17,MATCH(B833,Employees!$A$2:$A$17,0))</f>
        <v>141.10000000000002</v>
      </c>
    </row>
    <row r="834" spans="1:13" ht="18" x14ac:dyDescent="0.2">
      <c r="A834" s="17">
        <v>1720</v>
      </c>
      <c r="B834" s="17">
        <v>19</v>
      </c>
      <c r="C834" s="17" t="s">
        <v>593</v>
      </c>
      <c r="D834" s="17" t="s">
        <v>791</v>
      </c>
      <c r="E834" s="17" t="s">
        <v>792</v>
      </c>
      <c r="F834" s="17">
        <v>422</v>
      </c>
      <c r="G834" s="17">
        <v>6.7</v>
      </c>
      <c r="H834" s="17" t="str">
        <f>INDEX(Employees!$B$2:$B$17,MATCH(B834,Employees!$A$2:$A$17,0))</f>
        <v>Morgan</v>
      </c>
      <c r="I834" s="17" t="str">
        <f>INDEX(Employees!$C$2:$C$17,MATCH(B834,Employees!$A$2:$A$17,0))</f>
        <v>Picker</v>
      </c>
      <c r="J834" s="25">
        <f t="shared" ref="J834:J888" si="26">IF(G834=0,0,F834/G834)</f>
        <v>62.985074626865668</v>
      </c>
      <c r="K834" s="19">
        <f>IF(J834=0,0,J834/INDEX('Labor Dashboard'!$C$36:$C$39,MATCH(E834,'Labor Dashboard'!$B$36:$B$39,0)))</f>
        <v>1.1451831750339212</v>
      </c>
      <c r="L834" s="18">
        <f t="shared" ref="L834:L888" si="27">INT((DATEVALUE(C834)-DATE(2026,4,6))/7)</f>
        <v>12</v>
      </c>
      <c r="M834" s="20">
        <f>G834*INDEX(Employees!$E$2:$E$17,MATCH(B834,Employees!$A$2:$A$17,0))</f>
        <v>113.9</v>
      </c>
    </row>
    <row r="835" spans="1:13" ht="18" x14ac:dyDescent="0.2">
      <c r="A835" s="17">
        <v>1721</v>
      </c>
      <c r="B835" s="17">
        <v>20</v>
      </c>
      <c r="C835" s="17" t="s">
        <v>593</v>
      </c>
      <c r="D835" s="17" t="s">
        <v>793</v>
      </c>
      <c r="E835" s="17" t="s">
        <v>792</v>
      </c>
      <c r="F835" s="17">
        <v>338</v>
      </c>
      <c r="G835" s="17">
        <v>6.7</v>
      </c>
      <c r="H835" s="17" t="str">
        <f>INDEX(Employees!$B$2:$B$17,MATCH(B835,Employees!$A$2:$A$17,0))</f>
        <v>Taylor</v>
      </c>
      <c r="I835" s="17" t="str">
        <f>INDEX(Employees!$C$2:$C$17,MATCH(B835,Employees!$A$2:$A$17,0))</f>
        <v>Picker</v>
      </c>
      <c r="J835" s="25">
        <f t="shared" si="26"/>
        <v>50.447761194029852</v>
      </c>
      <c r="K835" s="19">
        <f>IF(J835=0,0,J835/INDEX('Labor Dashboard'!$C$36:$C$39,MATCH(E835,'Labor Dashboard'!$B$36:$B$39,0)))</f>
        <v>0.91723202170963369</v>
      </c>
      <c r="L835" s="18">
        <f t="shared" si="27"/>
        <v>12</v>
      </c>
      <c r="M835" s="20">
        <f>G835*INDEX(Employees!$E$2:$E$17,MATCH(B835,Employees!$A$2:$A$17,0))</f>
        <v>113.9</v>
      </c>
    </row>
    <row r="836" spans="1:13" ht="18" x14ac:dyDescent="0.2">
      <c r="A836" s="17">
        <v>1722</v>
      </c>
      <c r="B836" s="17">
        <v>22</v>
      </c>
      <c r="C836" s="17" t="s">
        <v>593</v>
      </c>
      <c r="D836" s="17" t="s">
        <v>791</v>
      </c>
      <c r="E836" s="17" t="s">
        <v>794</v>
      </c>
      <c r="F836" s="17">
        <v>404</v>
      </c>
      <c r="G836" s="17">
        <v>7.9</v>
      </c>
      <c r="H836" s="17" t="str">
        <f>INDEX(Employees!$B$2:$B$17,MATCH(B836,Employees!$A$2:$A$17,0))</f>
        <v>Avery</v>
      </c>
      <c r="I836" s="17" t="str">
        <f>INDEX(Employees!$C$2:$C$17,MATCH(B836,Employees!$A$2:$A$17,0))</f>
        <v>Packer</v>
      </c>
      <c r="J836" s="25">
        <f t="shared" si="26"/>
        <v>51.139240506329109</v>
      </c>
      <c r="K836" s="19">
        <f>IF(J836=0,0,J836/INDEX('Labor Dashboard'!$C$36:$C$39,MATCH(E836,'Labor Dashboard'!$B$36:$B$39,0)))</f>
        <v>1.1364275668073136</v>
      </c>
      <c r="L836" s="18">
        <f t="shared" si="27"/>
        <v>12</v>
      </c>
      <c r="M836" s="20">
        <f>G836*INDEX(Employees!$E$2:$E$17,MATCH(B836,Employees!$A$2:$A$17,0))</f>
        <v>134.30000000000001</v>
      </c>
    </row>
    <row r="837" spans="1:13" ht="18" x14ac:dyDescent="0.2">
      <c r="A837" s="17">
        <v>1723</v>
      </c>
      <c r="B837" s="17">
        <v>23</v>
      </c>
      <c r="C837" s="17" t="s">
        <v>593</v>
      </c>
      <c r="D837" s="17" t="s">
        <v>793</v>
      </c>
      <c r="E837" s="17" t="s">
        <v>794</v>
      </c>
      <c r="F837" s="17">
        <v>372</v>
      </c>
      <c r="G837" s="17">
        <v>7.5</v>
      </c>
      <c r="H837" s="17" t="str">
        <f>INDEX(Employees!$B$2:$B$17,MATCH(B837,Employees!$A$2:$A$17,0))</f>
        <v>Cameron</v>
      </c>
      <c r="I837" s="17" t="str">
        <f>INDEX(Employees!$C$2:$C$17,MATCH(B837,Employees!$A$2:$A$17,0))</f>
        <v>Packer</v>
      </c>
      <c r="J837" s="25">
        <f t="shared" si="26"/>
        <v>49.6</v>
      </c>
      <c r="K837" s="19">
        <f>IF(J837=0,0,J837/INDEX('Labor Dashboard'!$C$36:$C$39,MATCH(E837,'Labor Dashboard'!$B$36:$B$39,0)))</f>
        <v>1.1022222222222222</v>
      </c>
      <c r="L837" s="18">
        <f t="shared" si="27"/>
        <v>12</v>
      </c>
      <c r="M837" s="20">
        <f>G837*INDEX(Employees!$E$2:$E$17,MATCH(B837,Employees!$A$2:$A$17,0))</f>
        <v>127.5</v>
      </c>
    </row>
    <row r="838" spans="1:13" ht="18" x14ac:dyDescent="0.2">
      <c r="A838" s="17">
        <v>1724</v>
      </c>
      <c r="B838" s="17">
        <v>24</v>
      </c>
      <c r="C838" s="17" t="s">
        <v>593</v>
      </c>
      <c r="D838" s="17" t="s">
        <v>793</v>
      </c>
      <c r="E838" s="17" t="s">
        <v>795</v>
      </c>
      <c r="F838" s="17">
        <v>232</v>
      </c>
      <c r="G838" s="17">
        <v>7.5</v>
      </c>
      <c r="H838" s="17" t="str">
        <f>INDEX(Employees!$B$2:$B$17,MATCH(B838,Employees!$A$2:$A$17,0))</f>
        <v>Dakota</v>
      </c>
      <c r="I838" s="17" t="str">
        <f>INDEX(Employees!$C$2:$C$17,MATCH(B838,Employees!$A$2:$A$17,0))</f>
        <v>Forklift Operator</v>
      </c>
      <c r="J838" s="25">
        <f t="shared" si="26"/>
        <v>30.933333333333334</v>
      </c>
      <c r="K838" s="19">
        <f>IF(J838=0,0,J838/INDEX('Labor Dashboard'!$C$36:$C$39,MATCH(E838,'Labor Dashboard'!$B$36:$B$39,0)))</f>
        <v>1.0311111111111111</v>
      </c>
      <c r="L838" s="18">
        <f t="shared" si="27"/>
        <v>12</v>
      </c>
      <c r="M838" s="20">
        <f>G838*INDEX(Employees!$E$2:$E$17,MATCH(B838,Employees!$A$2:$A$17,0))</f>
        <v>146.25</v>
      </c>
    </row>
    <row r="839" spans="1:13" ht="18" x14ac:dyDescent="0.2">
      <c r="A839" s="17">
        <v>1725</v>
      </c>
      <c r="B839" s="17">
        <v>25</v>
      </c>
      <c r="C839" s="17" t="s">
        <v>593</v>
      </c>
      <c r="D839" s="17" t="s">
        <v>791</v>
      </c>
      <c r="E839" s="17" t="s">
        <v>792</v>
      </c>
      <c r="F839" s="17">
        <v>457</v>
      </c>
      <c r="G839" s="17">
        <v>8.1</v>
      </c>
      <c r="H839" s="17" t="str">
        <f>INDEX(Employees!$B$2:$B$17,MATCH(B839,Employees!$A$2:$A$17,0))</f>
        <v>Hayden</v>
      </c>
      <c r="I839" s="17" t="str">
        <f>INDEX(Employees!$C$2:$C$17,MATCH(B839,Employees!$A$2:$A$17,0))</f>
        <v>Forklift Operator</v>
      </c>
      <c r="J839" s="25">
        <f t="shared" si="26"/>
        <v>56.419753086419753</v>
      </c>
      <c r="K839" s="19">
        <f>IF(J839=0,0,J839/INDEX('Labor Dashboard'!$C$36:$C$39,MATCH(E839,'Labor Dashboard'!$B$36:$B$39,0)))</f>
        <v>1.0258136924803591</v>
      </c>
      <c r="L839" s="18">
        <f t="shared" si="27"/>
        <v>12</v>
      </c>
      <c r="M839" s="20">
        <f>G839*INDEX(Employees!$E$2:$E$17,MATCH(B839,Employees!$A$2:$A$17,0))</f>
        <v>157.94999999999999</v>
      </c>
    </row>
    <row r="840" spans="1:13" ht="18" x14ac:dyDescent="0.2">
      <c r="A840" s="17">
        <v>1726</v>
      </c>
      <c r="B840" s="17">
        <v>26</v>
      </c>
      <c r="C840" s="17" t="s">
        <v>593</v>
      </c>
      <c r="D840" s="17" t="s">
        <v>793</v>
      </c>
      <c r="E840" s="17" t="s">
        <v>795</v>
      </c>
      <c r="F840" s="17">
        <v>186</v>
      </c>
      <c r="G840" s="17">
        <v>7</v>
      </c>
      <c r="H840" s="17" t="str">
        <f>INDEX(Employees!$B$2:$B$17,MATCH(B840,Employees!$A$2:$A$17,0))</f>
        <v>Reese</v>
      </c>
      <c r="I840" s="17" t="str">
        <f>INDEX(Employees!$C$2:$C$17,MATCH(B840,Employees!$A$2:$A$17,0))</f>
        <v>Receiving Clerk</v>
      </c>
      <c r="J840" s="25">
        <f t="shared" si="26"/>
        <v>26.571428571428573</v>
      </c>
      <c r="K840" s="19">
        <f>IF(J840=0,0,J840/INDEX('Labor Dashboard'!$C$36:$C$39,MATCH(E840,'Labor Dashboard'!$B$36:$B$39,0)))</f>
        <v>0.88571428571428579</v>
      </c>
      <c r="L840" s="18">
        <f t="shared" si="27"/>
        <v>12</v>
      </c>
      <c r="M840" s="20">
        <f>G840*INDEX(Employees!$E$2:$E$17,MATCH(B840,Employees!$A$2:$A$17,0))</f>
        <v>126</v>
      </c>
    </row>
    <row r="841" spans="1:13" ht="18" x14ac:dyDescent="0.2">
      <c r="A841" s="17">
        <v>1727</v>
      </c>
      <c r="B841" s="17">
        <v>27</v>
      </c>
      <c r="C841" s="17" t="s">
        <v>593</v>
      </c>
      <c r="D841" s="17" t="s">
        <v>793</v>
      </c>
      <c r="E841" s="17" t="s">
        <v>795</v>
      </c>
      <c r="F841" s="17">
        <v>182</v>
      </c>
      <c r="G841" s="17">
        <v>8</v>
      </c>
      <c r="H841" s="17" t="str">
        <f>INDEX(Employees!$B$2:$B$17,MATCH(B841,Employees!$A$2:$A$17,0))</f>
        <v>Skyler</v>
      </c>
      <c r="I841" s="17" t="str">
        <f>INDEX(Employees!$C$2:$C$17,MATCH(B841,Employees!$A$2:$A$17,0))</f>
        <v>Receiving Clerk</v>
      </c>
      <c r="J841" s="25">
        <f t="shared" si="26"/>
        <v>22.75</v>
      </c>
      <c r="K841" s="19">
        <f>IF(J841=0,0,J841/INDEX('Labor Dashboard'!$C$36:$C$39,MATCH(E841,'Labor Dashboard'!$B$36:$B$39,0)))</f>
        <v>0.7583333333333333</v>
      </c>
      <c r="L841" s="18">
        <f t="shared" si="27"/>
        <v>12</v>
      </c>
      <c r="M841" s="20">
        <f>G841*INDEX(Employees!$E$2:$E$17,MATCH(B841,Employees!$A$2:$A$17,0))</f>
        <v>144</v>
      </c>
    </row>
    <row r="842" spans="1:13" ht="18" x14ac:dyDescent="0.2">
      <c r="A842" s="17">
        <v>1728</v>
      </c>
      <c r="B842" s="17">
        <v>28</v>
      </c>
      <c r="C842" s="17" t="s">
        <v>593</v>
      </c>
      <c r="D842" s="17" t="s">
        <v>793</v>
      </c>
      <c r="E842" s="17" t="s">
        <v>796</v>
      </c>
      <c r="F842" s="17">
        <v>159</v>
      </c>
      <c r="G842" s="17">
        <v>7.1</v>
      </c>
      <c r="H842" s="17" t="str">
        <f>INDEX(Employees!$B$2:$B$17,MATCH(B842,Employees!$A$2:$A$17,0))</f>
        <v>Peyton</v>
      </c>
      <c r="I842" s="17" t="str">
        <f>INDEX(Employees!$C$2:$C$17,MATCH(B842,Employees!$A$2:$A$17,0))</f>
        <v>Cycle Counter</v>
      </c>
      <c r="J842" s="25">
        <f t="shared" si="26"/>
        <v>22.3943661971831</v>
      </c>
      <c r="K842" s="19">
        <f>IF(J842=0,0,J842/INDEX('Labor Dashboard'!$C$36:$C$39,MATCH(E842,'Labor Dashboard'!$B$36:$B$39,0)))</f>
        <v>0.89577464788732397</v>
      </c>
      <c r="L842" s="18">
        <f t="shared" si="27"/>
        <v>12</v>
      </c>
      <c r="M842" s="20">
        <f>G842*INDEX(Employees!$E$2:$E$17,MATCH(B842,Employees!$A$2:$A$17,0))</f>
        <v>127.8</v>
      </c>
    </row>
    <row r="843" spans="1:13" ht="18" x14ac:dyDescent="0.2">
      <c r="A843" s="17">
        <v>1729</v>
      </c>
      <c r="B843" s="17">
        <v>29</v>
      </c>
      <c r="C843" s="17" t="s">
        <v>593</v>
      </c>
      <c r="D843" s="17" t="s">
        <v>791</v>
      </c>
      <c r="E843" s="17" t="s">
        <v>796</v>
      </c>
      <c r="F843" s="17">
        <v>215</v>
      </c>
      <c r="G843" s="17">
        <v>8</v>
      </c>
      <c r="H843" s="17" t="str">
        <f>INDEX(Employees!$B$2:$B$17,MATCH(B843,Employees!$A$2:$A$17,0))</f>
        <v>Rowan</v>
      </c>
      <c r="I843" s="17" t="str">
        <f>INDEX(Employees!$C$2:$C$17,MATCH(B843,Employees!$A$2:$A$17,0))</f>
        <v>Cycle Counter</v>
      </c>
      <c r="J843" s="25">
        <f t="shared" si="26"/>
        <v>26.875</v>
      </c>
      <c r="K843" s="19">
        <f>IF(J843=0,0,J843/INDEX('Labor Dashboard'!$C$36:$C$39,MATCH(E843,'Labor Dashboard'!$B$36:$B$39,0)))</f>
        <v>1.075</v>
      </c>
      <c r="L843" s="18">
        <f t="shared" si="27"/>
        <v>12</v>
      </c>
      <c r="M843" s="20">
        <f>G843*INDEX(Employees!$E$2:$E$17,MATCH(B843,Employees!$A$2:$A$17,0))</f>
        <v>144</v>
      </c>
    </row>
    <row r="844" spans="1:13" ht="18" x14ac:dyDescent="0.2">
      <c r="A844" s="17">
        <v>1730</v>
      </c>
      <c r="B844" s="17">
        <v>30</v>
      </c>
      <c r="C844" s="17" t="s">
        <v>593</v>
      </c>
      <c r="D844" s="17" t="s">
        <v>791</v>
      </c>
      <c r="E844" s="17" t="s">
        <v>795</v>
      </c>
      <c r="F844" s="17">
        <v>231</v>
      </c>
      <c r="G844" s="17">
        <v>8.4</v>
      </c>
      <c r="H844" s="17" t="str">
        <f>INDEX(Employees!$B$2:$B$17,MATCH(B844,Employees!$A$2:$A$17,0))</f>
        <v>Emerson</v>
      </c>
      <c r="I844" s="17" t="str">
        <f>INDEX(Employees!$C$2:$C$17,MATCH(B844,Employees!$A$2:$A$17,0))</f>
        <v>Shift Supervisor</v>
      </c>
      <c r="J844" s="25">
        <f t="shared" si="26"/>
        <v>27.5</v>
      </c>
      <c r="K844" s="19">
        <f>IF(J844=0,0,J844/INDEX('Labor Dashboard'!$C$36:$C$39,MATCH(E844,'Labor Dashboard'!$B$36:$B$39,0)))</f>
        <v>0.91666666666666663</v>
      </c>
      <c r="L844" s="18">
        <f t="shared" si="27"/>
        <v>12</v>
      </c>
      <c r="M844" s="20">
        <f>G844*INDEX(Employees!$E$2:$E$17,MATCH(B844,Employees!$A$2:$A$17,0))</f>
        <v>201.60000000000002</v>
      </c>
    </row>
    <row r="845" spans="1:13" ht="18" x14ac:dyDescent="0.2">
      <c r="A845" s="17">
        <v>1731</v>
      </c>
      <c r="B845" s="17">
        <v>31</v>
      </c>
      <c r="C845" s="17" t="s">
        <v>593</v>
      </c>
      <c r="D845" s="17" t="s">
        <v>793</v>
      </c>
      <c r="E845" s="17" t="s">
        <v>794</v>
      </c>
      <c r="F845" s="17">
        <v>337</v>
      </c>
      <c r="G845" s="17">
        <v>7.5</v>
      </c>
      <c r="H845" s="17" t="str">
        <f>INDEX(Employees!$B$2:$B$17,MATCH(B845,Employees!$A$2:$A$17,0))</f>
        <v>Finley</v>
      </c>
      <c r="I845" s="17" t="str">
        <f>INDEX(Employees!$C$2:$C$17,MATCH(B845,Employees!$A$2:$A$17,0))</f>
        <v>Shift Supervisor</v>
      </c>
      <c r="J845" s="25">
        <f t="shared" si="26"/>
        <v>44.93333333333333</v>
      </c>
      <c r="K845" s="19">
        <f>IF(J845=0,0,J845/INDEX('Labor Dashboard'!$C$36:$C$39,MATCH(E845,'Labor Dashboard'!$B$36:$B$39,0)))</f>
        <v>0.99851851851851847</v>
      </c>
      <c r="L845" s="18">
        <f t="shared" si="27"/>
        <v>12</v>
      </c>
      <c r="M845" s="20">
        <f>G845*INDEX(Employees!$E$2:$E$17,MATCH(B845,Employees!$A$2:$A$17,0))</f>
        <v>180</v>
      </c>
    </row>
    <row r="846" spans="1:13" ht="18" x14ac:dyDescent="0.2">
      <c r="A846" s="17">
        <v>1732</v>
      </c>
      <c r="B846" s="17">
        <v>32</v>
      </c>
      <c r="C846" s="17" t="s">
        <v>593</v>
      </c>
      <c r="D846" s="17" t="s">
        <v>793</v>
      </c>
      <c r="E846" s="17" t="s">
        <v>795</v>
      </c>
      <c r="F846" s="17">
        <v>208</v>
      </c>
      <c r="G846" s="17">
        <v>7.6</v>
      </c>
      <c r="H846" s="17" t="str">
        <f>INDEX(Employees!$B$2:$B$17,MATCH(B846,Employees!$A$2:$A$17,0))</f>
        <v>Sawyer</v>
      </c>
      <c r="I846" s="17" t="str">
        <f>INDEX(Employees!$C$2:$C$17,MATCH(B846,Employees!$A$2:$A$17,0))</f>
        <v>Shift Supervisor</v>
      </c>
      <c r="J846" s="25">
        <f t="shared" si="26"/>
        <v>27.368421052631579</v>
      </c>
      <c r="K846" s="19">
        <f>IF(J846=0,0,J846/INDEX('Labor Dashboard'!$C$36:$C$39,MATCH(E846,'Labor Dashboard'!$B$36:$B$39,0)))</f>
        <v>0.91228070175438591</v>
      </c>
      <c r="L846" s="18">
        <f t="shared" si="27"/>
        <v>12</v>
      </c>
      <c r="M846" s="20">
        <f>G846*INDEX(Employees!$E$2:$E$17,MATCH(B846,Employees!$A$2:$A$17,0))</f>
        <v>182.39999999999998</v>
      </c>
    </row>
    <row r="847" spans="1:13" ht="18" x14ac:dyDescent="0.2">
      <c r="A847" s="17">
        <v>1733</v>
      </c>
      <c r="B847" s="17">
        <v>17</v>
      </c>
      <c r="C847" s="17" t="s">
        <v>635</v>
      </c>
      <c r="D847" s="17" t="s">
        <v>791</v>
      </c>
      <c r="E847" s="17" t="s">
        <v>792</v>
      </c>
      <c r="F847" s="17">
        <v>398</v>
      </c>
      <c r="G847" s="17">
        <v>7.9</v>
      </c>
      <c r="H847" s="17" t="str">
        <f>INDEX(Employees!$B$2:$B$17,MATCH(B847,Employees!$A$2:$A$17,0))</f>
        <v>Jordan</v>
      </c>
      <c r="I847" s="17" t="str">
        <f>INDEX(Employees!$C$2:$C$17,MATCH(B847,Employees!$A$2:$A$17,0))</f>
        <v>Picker</v>
      </c>
      <c r="J847" s="25">
        <f t="shared" si="26"/>
        <v>50.379746835443036</v>
      </c>
      <c r="K847" s="19">
        <f>IF(J847=0,0,J847/INDEX('Labor Dashboard'!$C$36:$C$39,MATCH(E847,'Labor Dashboard'!$B$36:$B$39,0)))</f>
        <v>0.91599539700805521</v>
      </c>
      <c r="L847" s="18">
        <f t="shared" si="27"/>
        <v>12</v>
      </c>
      <c r="M847" s="20">
        <f>G847*INDEX(Employees!$E$2:$E$17,MATCH(B847,Employees!$A$2:$A$17,0))</f>
        <v>134.30000000000001</v>
      </c>
    </row>
    <row r="848" spans="1:13" ht="18" x14ac:dyDescent="0.2">
      <c r="A848" s="17">
        <v>1734</v>
      </c>
      <c r="B848" s="17">
        <v>18</v>
      </c>
      <c r="C848" s="17" t="s">
        <v>635</v>
      </c>
      <c r="D848" s="17" t="s">
        <v>791</v>
      </c>
      <c r="E848" s="17" t="s">
        <v>792</v>
      </c>
      <c r="F848" s="17">
        <v>443</v>
      </c>
      <c r="G848" s="17">
        <v>8.1999999999999993</v>
      </c>
      <c r="H848" s="17" t="str">
        <f>INDEX(Employees!$B$2:$B$17,MATCH(B848,Employees!$A$2:$A$17,0))</f>
        <v>Casey</v>
      </c>
      <c r="I848" s="17" t="str">
        <f>INDEX(Employees!$C$2:$C$17,MATCH(B848,Employees!$A$2:$A$17,0))</f>
        <v>Picker</v>
      </c>
      <c r="J848" s="25">
        <f t="shared" si="26"/>
        <v>54.024390243902445</v>
      </c>
      <c r="K848" s="19">
        <f>IF(J848=0,0,J848/INDEX('Labor Dashboard'!$C$36:$C$39,MATCH(E848,'Labor Dashboard'!$B$36:$B$39,0)))</f>
        <v>0.98226164079822631</v>
      </c>
      <c r="L848" s="18">
        <f t="shared" si="27"/>
        <v>12</v>
      </c>
      <c r="M848" s="20">
        <f>G848*INDEX(Employees!$E$2:$E$17,MATCH(B848,Employees!$A$2:$A$17,0))</f>
        <v>139.39999999999998</v>
      </c>
    </row>
    <row r="849" spans="1:13" ht="18" x14ac:dyDescent="0.2">
      <c r="A849" s="17">
        <v>1735</v>
      </c>
      <c r="B849" s="17">
        <v>19</v>
      </c>
      <c r="C849" s="17" t="s">
        <v>635</v>
      </c>
      <c r="D849" s="17" t="s">
        <v>793</v>
      </c>
      <c r="E849" s="17" t="s">
        <v>792</v>
      </c>
      <c r="F849" s="17">
        <v>387</v>
      </c>
      <c r="G849" s="17">
        <v>7</v>
      </c>
      <c r="H849" s="17" t="str">
        <f>INDEX(Employees!$B$2:$B$17,MATCH(B849,Employees!$A$2:$A$17,0))</f>
        <v>Morgan</v>
      </c>
      <c r="I849" s="17" t="str">
        <f>INDEX(Employees!$C$2:$C$17,MATCH(B849,Employees!$A$2:$A$17,0))</f>
        <v>Picker</v>
      </c>
      <c r="J849" s="25">
        <f t="shared" si="26"/>
        <v>55.285714285714285</v>
      </c>
      <c r="K849" s="19">
        <f>IF(J849=0,0,J849/INDEX('Labor Dashboard'!$C$36:$C$39,MATCH(E849,'Labor Dashboard'!$B$36:$B$39,0)))</f>
        <v>1.0051948051948052</v>
      </c>
      <c r="L849" s="18">
        <f t="shared" si="27"/>
        <v>12</v>
      </c>
      <c r="M849" s="20">
        <f>G849*INDEX(Employees!$E$2:$E$17,MATCH(B849,Employees!$A$2:$A$17,0))</f>
        <v>119</v>
      </c>
    </row>
    <row r="850" spans="1:13" ht="18" x14ac:dyDescent="0.2">
      <c r="A850" s="17">
        <v>1736</v>
      </c>
      <c r="B850" s="17">
        <v>20</v>
      </c>
      <c r="C850" s="17" t="s">
        <v>635</v>
      </c>
      <c r="D850" s="17" t="s">
        <v>791</v>
      </c>
      <c r="E850" s="17" t="s">
        <v>792</v>
      </c>
      <c r="F850" s="17">
        <v>457</v>
      </c>
      <c r="G850" s="17">
        <v>8.5</v>
      </c>
      <c r="H850" s="17" t="str">
        <f>INDEX(Employees!$B$2:$B$17,MATCH(B850,Employees!$A$2:$A$17,0))</f>
        <v>Taylor</v>
      </c>
      <c r="I850" s="17" t="str">
        <f>INDEX(Employees!$C$2:$C$17,MATCH(B850,Employees!$A$2:$A$17,0))</f>
        <v>Picker</v>
      </c>
      <c r="J850" s="25">
        <f t="shared" si="26"/>
        <v>53.764705882352942</v>
      </c>
      <c r="K850" s="19">
        <f>IF(J850=0,0,J850/INDEX('Labor Dashboard'!$C$36:$C$39,MATCH(E850,'Labor Dashboard'!$B$36:$B$39,0)))</f>
        <v>0.97754010695187166</v>
      </c>
      <c r="L850" s="18">
        <f t="shared" si="27"/>
        <v>12</v>
      </c>
      <c r="M850" s="20">
        <f>G850*INDEX(Employees!$E$2:$E$17,MATCH(B850,Employees!$A$2:$A$17,0))</f>
        <v>144.5</v>
      </c>
    </row>
    <row r="851" spans="1:13" ht="18" x14ac:dyDescent="0.2">
      <c r="A851" s="17">
        <v>1737</v>
      </c>
      <c r="B851" s="17">
        <v>21</v>
      </c>
      <c r="C851" s="17" t="s">
        <v>635</v>
      </c>
      <c r="D851" s="17" t="s">
        <v>793</v>
      </c>
      <c r="E851" s="17" t="s">
        <v>794</v>
      </c>
      <c r="F851" s="17">
        <v>299</v>
      </c>
      <c r="G851" s="17">
        <v>7.3</v>
      </c>
      <c r="H851" s="17" t="str">
        <f>INDEX(Employees!$B$2:$B$17,MATCH(B851,Employees!$A$2:$A$17,0))</f>
        <v>Riley</v>
      </c>
      <c r="I851" s="17" t="str">
        <f>INDEX(Employees!$C$2:$C$17,MATCH(B851,Employees!$A$2:$A$17,0))</f>
        <v>Packer</v>
      </c>
      <c r="J851" s="25">
        <f t="shared" si="26"/>
        <v>40.958904109589042</v>
      </c>
      <c r="K851" s="19">
        <f>IF(J851=0,0,J851/INDEX('Labor Dashboard'!$C$36:$C$39,MATCH(E851,'Labor Dashboard'!$B$36:$B$39,0)))</f>
        <v>0.91019786910197875</v>
      </c>
      <c r="L851" s="18">
        <f t="shared" si="27"/>
        <v>12</v>
      </c>
      <c r="M851" s="20">
        <f>G851*INDEX(Employees!$E$2:$E$17,MATCH(B851,Employees!$A$2:$A$17,0))</f>
        <v>124.1</v>
      </c>
    </row>
    <row r="852" spans="1:13" ht="18" x14ac:dyDescent="0.2">
      <c r="A852" s="17">
        <v>1738</v>
      </c>
      <c r="B852" s="17">
        <v>22</v>
      </c>
      <c r="C852" s="17" t="s">
        <v>635</v>
      </c>
      <c r="D852" s="17" t="s">
        <v>793</v>
      </c>
      <c r="E852" s="17" t="s">
        <v>794</v>
      </c>
      <c r="F852" s="17">
        <v>354</v>
      </c>
      <c r="G852" s="17">
        <v>7.2</v>
      </c>
      <c r="H852" s="17" t="str">
        <f>INDEX(Employees!$B$2:$B$17,MATCH(B852,Employees!$A$2:$A$17,0))</f>
        <v>Avery</v>
      </c>
      <c r="I852" s="17" t="str">
        <f>INDEX(Employees!$C$2:$C$17,MATCH(B852,Employees!$A$2:$A$17,0))</f>
        <v>Packer</v>
      </c>
      <c r="J852" s="25">
        <f t="shared" si="26"/>
        <v>49.166666666666664</v>
      </c>
      <c r="K852" s="19">
        <f>IF(J852=0,0,J852/INDEX('Labor Dashboard'!$C$36:$C$39,MATCH(E852,'Labor Dashboard'!$B$36:$B$39,0)))</f>
        <v>1.0925925925925926</v>
      </c>
      <c r="L852" s="18">
        <f t="shared" si="27"/>
        <v>12</v>
      </c>
      <c r="M852" s="20">
        <f>G852*INDEX(Employees!$E$2:$E$17,MATCH(B852,Employees!$A$2:$A$17,0))</f>
        <v>122.4</v>
      </c>
    </row>
    <row r="853" spans="1:13" ht="18" x14ac:dyDescent="0.2">
      <c r="A853" s="17">
        <v>1739</v>
      </c>
      <c r="B853" s="17">
        <v>23</v>
      </c>
      <c r="C853" s="17" t="s">
        <v>635</v>
      </c>
      <c r="D853" s="17" t="s">
        <v>791</v>
      </c>
      <c r="E853" s="17" t="s">
        <v>794</v>
      </c>
      <c r="F853" s="17">
        <v>398</v>
      </c>
      <c r="G853" s="17">
        <v>7.6</v>
      </c>
      <c r="H853" s="17" t="str">
        <f>INDEX(Employees!$B$2:$B$17,MATCH(B853,Employees!$A$2:$A$17,0))</f>
        <v>Cameron</v>
      </c>
      <c r="I853" s="17" t="str">
        <f>INDEX(Employees!$C$2:$C$17,MATCH(B853,Employees!$A$2:$A$17,0))</f>
        <v>Packer</v>
      </c>
      <c r="J853" s="25">
        <f t="shared" si="26"/>
        <v>52.368421052631582</v>
      </c>
      <c r="K853" s="19">
        <f>IF(J853=0,0,J853/INDEX('Labor Dashboard'!$C$36:$C$39,MATCH(E853,'Labor Dashboard'!$B$36:$B$39,0)))</f>
        <v>1.1637426900584795</v>
      </c>
      <c r="L853" s="18">
        <f t="shared" si="27"/>
        <v>12</v>
      </c>
      <c r="M853" s="20">
        <f>G853*INDEX(Employees!$E$2:$E$17,MATCH(B853,Employees!$A$2:$A$17,0))</f>
        <v>129.19999999999999</v>
      </c>
    </row>
    <row r="854" spans="1:13" ht="18" x14ac:dyDescent="0.2">
      <c r="A854" s="17">
        <v>1740</v>
      </c>
      <c r="B854" s="17">
        <v>24</v>
      </c>
      <c r="C854" s="17" t="s">
        <v>635</v>
      </c>
      <c r="D854" s="17" t="s">
        <v>793</v>
      </c>
      <c r="E854" s="17" t="s">
        <v>795</v>
      </c>
      <c r="F854" s="17">
        <v>216</v>
      </c>
      <c r="G854" s="17">
        <v>7.4</v>
      </c>
      <c r="H854" s="17" t="str">
        <f>INDEX(Employees!$B$2:$B$17,MATCH(B854,Employees!$A$2:$A$17,0))</f>
        <v>Dakota</v>
      </c>
      <c r="I854" s="17" t="str">
        <f>INDEX(Employees!$C$2:$C$17,MATCH(B854,Employees!$A$2:$A$17,0))</f>
        <v>Forklift Operator</v>
      </c>
      <c r="J854" s="25">
        <f t="shared" si="26"/>
        <v>29.189189189189189</v>
      </c>
      <c r="K854" s="19">
        <f>IF(J854=0,0,J854/INDEX('Labor Dashboard'!$C$36:$C$39,MATCH(E854,'Labor Dashboard'!$B$36:$B$39,0)))</f>
        <v>0.97297297297297303</v>
      </c>
      <c r="L854" s="18">
        <f t="shared" si="27"/>
        <v>12</v>
      </c>
      <c r="M854" s="20">
        <f>G854*INDEX(Employees!$E$2:$E$17,MATCH(B854,Employees!$A$2:$A$17,0))</f>
        <v>144.30000000000001</v>
      </c>
    </row>
    <row r="855" spans="1:13" ht="18" x14ac:dyDescent="0.2">
      <c r="A855" s="17">
        <v>1741</v>
      </c>
      <c r="B855" s="17">
        <v>25</v>
      </c>
      <c r="C855" s="17" t="s">
        <v>635</v>
      </c>
      <c r="D855" s="17" t="s">
        <v>791</v>
      </c>
      <c r="E855" s="17" t="s">
        <v>795</v>
      </c>
      <c r="F855" s="17">
        <v>187</v>
      </c>
      <c r="G855" s="17">
        <v>6.8</v>
      </c>
      <c r="H855" s="17" t="str">
        <f>INDEX(Employees!$B$2:$B$17,MATCH(B855,Employees!$A$2:$A$17,0))</f>
        <v>Hayden</v>
      </c>
      <c r="I855" s="17" t="str">
        <f>INDEX(Employees!$C$2:$C$17,MATCH(B855,Employees!$A$2:$A$17,0))</f>
        <v>Forklift Operator</v>
      </c>
      <c r="J855" s="25">
        <f t="shared" si="26"/>
        <v>27.5</v>
      </c>
      <c r="K855" s="19">
        <f>IF(J855=0,0,J855/INDEX('Labor Dashboard'!$C$36:$C$39,MATCH(E855,'Labor Dashboard'!$B$36:$B$39,0)))</f>
        <v>0.91666666666666663</v>
      </c>
      <c r="L855" s="18">
        <f t="shared" si="27"/>
        <v>12</v>
      </c>
      <c r="M855" s="20">
        <f>G855*INDEX(Employees!$E$2:$E$17,MATCH(B855,Employees!$A$2:$A$17,0))</f>
        <v>132.6</v>
      </c>
    </row>
    <row r="856" spans="1:13" ht="18" x14ac:dyDescent="0.2">
      <c r="A856" s="17">
        <v>1742</v>
      </c>
      <c r="B856" s="17">
        <v>27</v>
      </c>
      <c r="C856" s="17" t="s">
        <v>635</v>
      </c>
      <c r="D856" s="17" t="s">
        <v>791</v>
      </c>
      <c r="E856" s="17" t="s">
        <v>795</v>
      </c>
      <c r="F856" s="17">
        <v>215</v>
      </c>
      <c r="G856" s="17">
        <v>8.1999999999999993</v>
      </c>
      <c r="H856" s="17" t="str">
        <f>INDEX(Employees!$B$2:$B$17,MATCH(B856,Employees!$A$2:$A$17,0))</f>
        <v>Skyler</v>
      </c>
      <c r="I856" s="17" t="str">
        <f>INDEX(Employees!$C$2:$C$17,MATCH(B856,Employees!$A$2:$A$17,0))</f>
        <v>Receiving Clerk</v>
      </c>
      <c r="J856" s="25">
        <f t="shared" si="26"/>
        <v>26.219512195121954</v>
      </c>
      <c r="K856" s="19">
        <f>IF(J856=0,0,J856/INDEX('Labor Dashboard'!$C$36:$C$39,MATCH(E856,'Labor Dashboard'!$B$36:$B$39,0)))</f>
        <v>0.87398373983739852</v>
      </c>
      <c r="L856" s="18">
        <f t="shared" si="27"/>
        <v>12</v>
      </c>
      <c r="M856" s="20">
        <f>G856*INDEX(Employees!$E$2:$E$17,MATCH(B856,Employees!$A$2:$A$17,0))</f>
        <v>147.6</v>
      </c>
    </row>
    <row r="857" spans="1:13" ht="18" x14ac:dyDescent="0.2">
      <c r="A857" s="17">
        <v>1743</v>
      </c>
      <c r="B857" s="17">
        <v>30</v>
      </c>
      <c r="C857" s="17" t="s">
        <v>635</v>
      </c>
      <c r="D857" s="17" t="s">
        <v>791</v>
      </c>
      <c r="E857" s="17" t="s">
        <v>796</v>
      </c>
      <c r="F857" s="17">
        <v>136</v>
      </c>
      <c r="G857" s="17">
        <v>6.5</v>
      </c>
      <c r="H857" s="17" t="str">
        <f>INDEX(Employees!$B$2:$B$17,MATCH(B857,Employees!$A$2:$A$17,0))</f>
        <v>Emerson</v>
      </c>
      <c r="I857" s="17" t="str">
        <f>INDEX(Employees!$C$2:$C$17,MATCH(B857,Employees!$A$2:$A$17,0))</f>
        <v>Shift Supervisor</v>
      </c>
      <c r="J857" s="25">
        <f t="shared" si="26"/>
        <v>20.923076923076923</v>
      </c>
      <c r="K857" s="19">
        <f>IF(J857=0,0,J857/INDEX('Labor Dashboard'!$C$36:$C$39,MATCH(E857,'Labor Dashboard'!$B$36:$B$39,0)))</f>
        <v>0.83692307692307688</v>
      </c>
      <c r="L857" s="18">
        <f t="shared" si="27"/>
        <v>12</v>
      </c>
      <c r="M857" s="20">
        <f>G857*INDEX(Employees!$E$2:$E$17,MATCH(B857,Employees!$A$2:$A$17,0))</f>
        <v>156</v>
      </c>
    </row>
    <row r="858" spans="1:13" ht="18" x14ac:dyDescent="0.2">
      <c r="A858" s="17">
        <v>1744</v>
      </c>
      <c r="B858" s="17">
        <v>31</v>
      </c>
      <c r="C858" s="17" t="s">
        <v>635</v>
      </c>
      <c r="D858" s="17" t="s">
        <v>793</v>
      </c>
      <c r="E858" s="17" t="s">
        <v>796</v>
      </c>
      <c r="F858" s="17">
        <v>180</v>
      </c>
      <c r="G858" s="17">
        <v>6.9</v>
      </c>
      <c r="H858" s="17" t="str">
        <f>INDEX(Employees!$B$2:$B$17,MATCH(B858,Employees!$A$2:$A$17,0))</f>
        <v>Finley</v>
      </c>
      <c r="I858" s="17" t="str">
        <f>INDEX(Employees!$C$2:$C$17,MATCH(B858,Employees!$A$2:$A$17,0))</f>
        <v>Shift Supervisor</v>
      </c>
      <c r="J858" s="25">
        <f t="shared" si="26"/>
        <v>26.086956521739129</v>
      </c>
      <c r="K858" s="19">
        <f>IF(J858=0,0,J858/INDEX('Labor Dashboard'!$C$36:$C$39,MATCH(E858,'Labor Dashboard'!$B$36:$B$39,0)))</f>
        <v>1.0434782608695652</v>
      </c>
      <c r="L858" s="18">
        <f t="shared" si="27"/>
        <v>12</v>
      </c>
      <c r="M858" s="20">
        <f>G858*INDEX(Employees!$E$2:$E$17,MATCH(B858,Employees!$A$2:$A$17,0))</f>
        <v>165.60000000000002</v>
      </c>
    </row>
    <row r="859" spans="1:13" ht="18" x14ac:dyDescent="0.2">
      <c r="A859" s="17">
        <v>1745</v>
      </c>
      <c r="B859" s="17">
        <v>32</v>
      </c>
      <c r="C859" s="17" t="s">
        <v>635</v>
      </c>
      <c r="D859" s="17" t="s">
        <v>791</v>
      </c>
      <c r="E859" s="17" t="s">
        <v>792</v>
      </c>
      <c r="F859" s="17">
        <v>417</v>
      </c>
      <c r="G859" s="17">
        <v>7.7</v>
      </c>
      <c r="H859" s="17" t="str">
        <f>INDEX(Employees!$B$2:$B$17,MATCH(B859,Employees!$A$2:$A$17,0))</f>
        <v>Sawyer</v>
      </c>
      <c r="I859" s="17" t="str">
        <f>INDEX(Employees!$C$2:$C$17,MATCH(B859,Employees!$A$2:$A$17,0))</f>
        <v>Shift Supervisor</v>
      </c>
      <c r="J859" s="25">
        <f t="shared" si="26"/>
        <v>54.155844155844157</v>
      </c>
      <c r="K859" s="19">
        <f>IF(J859=0,0,J859/INDEX('Labor Dashboard'!$C$36:$C$39,MATCH(E859,'Labor Dashboard'!$B$36:$B$39,0)))</f>
        <v>0.98465171192443923</v>
      </c>
      <c r="L859" s="18">
        <f t="shared" si="27"/>
        <v>12</v>
      </c>
      <c r="M859" s="20">
        <f>G859*INDEX(Employees!$E$2:$E$17,MATCH(B859,Employees!$A$2:$A$17,0))</f>
        <v>184.8</v>
      </c>
    </row>
    <row r="860" spans="1:13" ht="18" x14ac:dyDescent="0.2">
      <c r="A860" s="17">
        <v>1746</v>
      </c>
      <c r="B860" s="17">
        <v>17</v>
      </c>
      <c r="C860" s="17" t="s">
        <v>632</v>
      </c>
      <c r="D860" s="17" t="s">
        <v>793</v>
      </c>
      <c r="E860" s="17" t="s">
        <v>792</v>
      </c>
      <c r="F860" s="17">
        <v>333</v>
      </c>
      <c r="G860" s="17">
        <v>7.2</v>
      </c>
      <c r="H860" s="17" t="str">
        <f>INDEX(Employees!$B$2:$B$17,MATCH(B860,Employees!$A$2:$A$17,0))</f>
        <v>Jordan</v>
      </c>
      <c r="I860" s="17" t="str">
        <f>INDEX(Employees!$C$2:$C$17,MATCH(B860,Employees!$A$2:$A$17,0))</f>
        <v>Picker</v>
      </c>
      <c r="J860" s="25">
        <f t="shared" si="26"/>
        <v>46.25</v>
      </c>
      <c r="K860" s="19">
        <f>IF(J860=0,0,J860/INDEX('Labor Dashboard'!$C$36:$C$39,MATCH(E860,'Labor Dashboard'!$B$36:$B$39,0)))</f>
        <v>0.84090909090909094</v>
      </c>
      <c r="L860" s="18">
        <f t="shared" si="27"/>
        <v>12</v>
      </c>
      <c r="M860" s="20">
        <f>G860*INDEX(Employees!$E$2:$E$17,MATCH(B860,Employees!$A$2:$A$17,0))</f>
        <v>122.4</v>
      </c>
    </row>
    <row r="861" spans="1:13" ht="18" x14ac:dyDescent="0.2">
      <c r="A861" s="17">
        <v>1747</v>
      </c>
      <c r="B861" s="17">
        <v>19</v>
      </c>
      <c r="C861" s="17" t="s">
        <v>632</v>
      </c>
      <c r="D861" s="17" t="s">
        <v>793</v>
      </c>
      <c r="E861" s="17" t="s">
        <v>792</v>
      </c>
      <c r="F861" s="17">
        <v>389</v>
      </c>
      <c r="G861" s="17">
        <v>6.8</v>
      </c>
      <c r="H861" s="17" t="str">
        <f>INDEX(Employees!$B$2:$B$17,MATCH(B861,Employees!$A$2:$A$17,0))</f>
        <v>Morgan</v>
      </c>
      <c r="I861" s="17" t="str">
        <f>INDEX(Employees!$C$2:$C$17,MATCH(B861,Employees!$A$2:$A$17,0))</f>
        <v>Picker</v>
      </c>
      <c r="J861" s="25">
        <f t="shared" si="26"/>
        <v>57.205882352941181</v>
      </c>
      <c r="K861" s="19">
        <f>IF(J861=0,0,J861/INDEX('Labor Dashboard'!$C$36:$C$39,MATCH(E861,'Labor Dashboard'!$B$36:$B$39,0)))</f>
        <v>1.0401069518716579</v>
      </c>
      <c r="L861" s="18">
        <f t="shared" si="27"/>
        <v>12</v>
      </c>
      <c r="M861" s="20">
        <f>G861*INDEX(Employees!$E$2:$E$17,MATCH(B861,Employees!$A$2:$A$17,0))</f>
        <v>115.6</v>
      </c>
    </row>
    <row r="862" spans="1:13" ht="18" x14ac:dyDescent="0.2">
      <c r="A862" s="17">
        <v>1748</v>
      </c>
      <c r="B862" s="17">
        <v>21</v>
      </c>
      <c r="C862" s="17" t="s">
        <v>632</v>
      </c>
      <c r="D862" s="17" t="s">
        <v>793</v>
      </c>
      <c r="E862" s="17" t="s">
        <v>794</v>
      </c>
      <c r="F862" s="17">
        <v>330</v>
      </c>
      <c r="G862" s="17">
        <v>8.1999999999999993</v>
      </c>
      <c r="H862" s="17" t="str">
        <f>INDEX(Employees!$B$2:$B$17,MATCH(B862,Employees!$A$2:$A$17,0))</f>
        <v>Riley</v>
      </c>
      <c r="I862" s="17" t="str">
        <f>INDEX(Employees!$C$2:$C$17,MATCH(B862,Employees!$A$2:$A$17,0))</f>
        <v>Packer</v>
      </c>
      <c r="J862" s="25">
        <f t="shared" si="26"/>
        <v>40.243902439024396</v>
      </c>
      <c r="K862" s="19">
        <f>IF(J862=0,0,J862/INDEX('Labor Dashboard'!$C$36:$C$39,MATCH(E862,'Labor Dashboard'!$B$36:$B$39,0)))</f>
        <v>0.89430894308943099</v>
      </c>
      <c r="L862" s="18">
        <f t="shared" si="27"/>
        <v>12</v>
      </c>
      <c r="M862" s="20">
        <f>G862*INDEX(Employees!$E$2:$E$17,MATCH(B862,Employees!$A$2:$A$17,0))</f>
        <v>139.39999999999998</v>
      </c>
    </row>
    <row r="863" spans="1:13" ht="18" x14ac:dyDescent="0.2">
      <c r="A863" s="17">
        <v>1749</v>
      </c>
      <c r="B863" s="17">
        <v>22</v>
      </c>
      <c r="C863" s="17" t="s">
        <v>632</v>
      </c>
      <c r="D863" s="17" t="s">
        <v>793</v>
      </c>
      <c r="E863" s="17" t="s">
        <v>794</v>
      </c>
      <c r="F863" s="17">
        <v>352</v>
      </c>
      <c r="G863" s="17">
        <v>6.6</v>
      </c>
      <c r="H863" s="17" t="str">
        <f>INDEX(Employees!$B$2:$B$17,MATCH(B863,Employees!$A$2:$A$17,0))</f>
        <v>Avery</v>
      </c>
      <c r="I863" s="17" t="str">
        <f>INDEX(Employees!$C$2:$C$17,MATCH(B863,Employees!$A$2:$A$17,0))</f>
        <v>Packer</v>
      </c>
      <c r="J863" s="25">
        <f t="shared" si="26"/>
        <v>53.333333333333336</v>
      </c>
      <c r="K863" s="19">
        <f>IF(J863=0,0,J863/INDEX('Labor Dashboard'!$C$36:$C$39,MATCH(E863,'Labor Dashboard'!$B$36:$B$39,0)))</f>
        <v>1.1851851851851853</v>
      </c>
      <c r="L863" s="18">
        <f t="shared" si="27"/>
        <v>12</v>
      </c>
      <c r="M863" s="20">
        <f>G863*INDEX(Employees!$E$2:$E$17,MATCH(B863,Employees!$A$2:$A$17,0))</f>
        <v>112.19999999999999</v>
      </c>
    </row>
    <row r="864" spans="1:13" ht="18" x14ac:dyDescent="0.2">
      <c r="A864" s="17">
        <v>1750</v>
      </c>
      <c r="B864" s="17">
        <v>23</v>
      </c>
      <c r="C864" s="17" t="s">
        <v>632</v>
      </c>
      <c r="D864" s="17" t="s">
        <v>791</v>
      </c>
      <c r="E864" s="17" t="s">
        <v>794</v>
      </c>
      <c r="F864" s="17">
        <v>380</v>
      </c>
      <c r="G864" s="17">
        <v>7.9</v>
      </c>
      <c r="H864" s="17" t="str">
        <f>INDEX(Employees!$B$2:$B$17,MATCH(B864,Employees!$A$2:$A$17,0))</f>
        <v>Cameron</v>
      </c>
      <c r="I864" s="17" t="str">
        <f>INDEX(Employees!$C$2:$C$17,MATCH(B864,Employees!$A$2:$A$17,0))</f>
        <v>Packer</v>
      </c>
      <c r="J864" s="25">
        <f t="shared" si="26"/>
        <v>48.101265822784811</v>
      </c>
      <c r="K864" s="19">
        <f>IF(J864=0,0,J864/INDEX('Labor Dashboard'!$C$36:$C$39,MATCH(E864,'Labor Dashboard'!$B$36:$B$39,0)))</f>
        <v>1.068917018284107</v>
      </c>
      <c r="L864" s="18">
        <f t="shared" si="27"/>
        <v>12</v>
      </c>
      <c r="M864" s="20">
        <f>G864*INDEX(Employees!$E$2:$E$17,MATCH(B864,Employees!$A$2:$A$17,0))</f>
        <v>134.30000000000001</v>
      </c>
    </row>
    <row r="865" spans="1:13" ht="18" x14ac:dyDescent="0.2">
      <c r="A865" s="17">
        <v>1751</v>
      </c>
      <c r="B865" s="17">
        <v>24</v>
      </c>
      <c r="C865" s="17" t="s">
        <v>632</v>
      </c>
      <c r="D865" s="17" t="s">
        <v>793</v>
      </c>
      <c r="E865" s="17" t="s">
        <v>795</v>
      </c>
      <c r="F865" s="17">
        <v>236</v>
      </c>
      <c r="G865" s="17">
        <v>7.3</v>
      </c>
      <c r="H865" s="17" t="str">
        <f>INDEX(Employees!$B$2:$B$17,MATCH(B865,Employees!$A$2:$A$17,0))</f>
        <v>Dakota</v>
      </c>
      <c r="I865" s="17" t="str">
        <f>INDEX(Employees!$C$2:$C$17,MATCH(B865,Employees!$A$2:$A$17,0))</f>
        <v>Forklift Operator</v>
      </c>
      <c r="J865" s="25">
        <f t="shared" si="26"/>
        <v>32.328767123287669</v>
      </c>
      <c r="K865" s="19">
        <f>IF(J865=0,0,J865/INDEX('Labor Dashboard'!$C$36:$C$39,MATCH(E865,'Labor Dashboard'!$B$36:$B$39,0)))</f>
        <v>1.0776255707762556</v>
      </c>
      <c r="L865" s="18">
        <f t="shared" si="27"/>
        <v>12</v>
      </c>
      <c r="M865" s="20">
        <f>G865*INDEX(Employees!$E$2:$E$17,MATCH(B865,Employees!$A$2:$A$17,0))</f>
        <v>142.35</v>
      </c>
    </row>
    <row r="866" spans="1:13" ht="18" x14ac:dyDescent="0.2">
      <c r="A866" s="17">
        <v>1752</v>
      </c>
      <c r="B866" s="17">
        <v>26</v>
      </c>
      <c r="C866" s="17" t="s">
        <v>632</v>
      </c>
      <c r="D866" s="17" t="s">
        <v>793</v>
      </c>
      <c r="E866" s="17" t="s">
        <v>795</v>
      </c>
      <c r="F866" s="17">
        <v>228</v>
      </c>
      <c r="G866" s="17">
        <v>8.1999999999999993</v>
      </c>
      <c r="H866" s="17" t="str">
        <f>INDEX(Employees!$B$2:$B$17,MATCH(B866,Employees!$A$2:$A$17,0))</f>
        <v>Reese</v>
      </c>
      <c r="I866" s="17" t="str">
        <f>INDEX(Employees!$C$2:$C$17,MATCH(B866,Employees!$A$2:$A$17,0))</f>
        <v>Receiving Clerk</v>
      </c>
      <c r="J866" s="25">
        <f t="shared" si="26"/>
        <v>27.804878048780491</v>
      </c>
      <c r="K866" s="19">
        <f>IF(J866=0,0,J866/INDEX('Labor Dashboard'!$C$36:$C$39,MATCH(E866,'Labor Dashboard'!$B$36:$B$39,0)))</f>
        <v>0.92682926829268308</v>
      </c>
      <c r="L866" s="18">
        <f t="shared" si="27"/>
        <v>12</v>
      </c>
      <c r="M866" s="20">
        <f>G866*INDEX(Employees!$E$2:$E$17,MATCH(B866,Employees!$A$2:$A$17,0))</f>
        <v>147.6</v>
      </c>
    </row>
    <row r="867" spans="1:13" ht="18" x14ac:dyDescent="0.2">
      <c r="A867" s="17">
        <v>1753</v>
      </c>
      <c r="B867" s="17">
        <v>27</v>
      </c>
      <c r="C867" s="17" t="s">
        <v>632</v>
      </c>
      <c r="D867" s="17" t="s">
        <v>793</v>
      </c>
      <c r="E867" s="17" t="s">
        <v>795</v>
      </c>
      <c r="F867" s="17">
        <v>153</v>
      </c>
      <c r="G867" s="17">
        <v>6.5</v>
      </c>
      <c r="H867" s="17" t="str">
        <f>INDEX(Employees!$B$2:$B$17,MATCH(B867,Employees!$A$2:$A$17,0))</f>
        <v>Skyler</v>
      </c>
      <c r="I867" s="17" t="str">
        <f>INDEX(Employees!$C$2:$C$17,MATCH(B867,Employees!$A$2:$A$17,0))</f>
        <v>Receiving Clerk</v>
      </c>
      <c r="J867" s="25">
        <f t="shared" si="26"/>
        <v>23.53846153846154</v>
      </c>
      <c r="K867" s="19">
        <f>IF(J867=0,0,J867/INDEX('Labor Dashboard'!$C$36:$C$39,MATCH(E867,'Labor Dashboard'!$B$36:$B$39,0)))</f>
        <v>0.78461538461538471</v>
      </c>
      <c r="L867" s="18">
        <f t="shared" si="27"/>
        <v>12</v>
      </c>
      <c r="M867" s="20">
        <f>G867*INDEX(Employees!$E$2:$E$17,MATCH(B867,Employees!$A$2:$A$17,0))</f>
        <v>117</v>
      </c>
    </row>
    <row r="868" spans="1:13" ht="18" x14ac:dyDescent="0.2">
      <c r="A868" s="17">
        <v>1754</v>
      </c>
      <c r="B868" s="17">
        <v>28</v>
      </c>
      <c r="C868" s="17" t="s">
        <v>632</v>
      </c>
      <c r="D868" s="17" t="s">
        <v>791</v>
      </c>
      <c r="E868" s="17" t="s">
        <v>796</v>
      </c>
      <c r="F868" s="17">
        <v>157</v>
      </c>
      <c r="G868" s="17">
        <v>6.7</v>
      </c>
      <c r="H868" s="17" t="str">
        <f>INDEX(Employees!$B$2:$B$17,MATCH(B868,Employees!$A$2:$A$17,0))</f>
        <v>Peyton</v>
      </c>
      <c r="I868" s="17" t="str">
        <f>INDEX(Employees!$C$2:$C$17,MATCH(B868,Employees!$A$2:$A$17,0))</f>
        <v>Cycle Counter</v>
      </c>
      <c r="J868" s="25">
        <f t="shared" si="26"/>
        <v>23.432835820895523</v>
      </c>
      <c r="K868" s="19">
        <f>IF(J868=0,0,J868/INDEX('Labor Dashboard'!$C$36:$C$39,MATCH(E868,'Labor Dashboard'!$B$36:$B$39,0)))</f>
        <v>0.93731343283582091</v>
      </c>
      <c r="L868" s="18">
        <f t="shared" si="27"/>
        <v>12</v>
      </c>
      <c r="M868" s="20">
        <f>G868*INDEX(Employees!$E$2:$E$17,MATCH(B868,Employees!$A$2:$A$17,0))</f>
        <v>120.60000000000001</v>
      </c>
    </row>
    <row r="869" spans="1:13" ht="18" x14ac:dyDescent="0.2">
      <c r="A869" s="17">
        <v>1755</v>
      </c>
      <c r="B869" s="17">
        <v>29</v>
      </c>
      <c r="C869" s="17" t="s">
        <v>632</v>
      </c>
      <c r="D869" s="17" t="s">
        <v>793</v>
      </c>
      <c r="E869" s="17" t="s">
        <v>796</v>
      </c>
      <c r="F869" s="17">
        <v>182</v>
      </c>
      <c r="G869" s="17">
        <v>6.7</v>
      </c>
      <c r="H869" s="17" t="str">
        <f>INDEX(Employees!$B$2:$B$17,MATCH(B869,Employees!$A$2:$A$17,0))</f>
        <v>Rowan</v>
      </c>
      <c r="I869" s="17" t="str">
        <f>INDEX(Employees!$C$2:$C$17,MATCH(B869,Employees!$A$2:$A$17,0))</f>
        <v>Cycle Counter</v>
      </c>
      <c r="J869" s="25">
        <f t="shared" si="26"/>
        <v>27.164179104477611</v>
      </c>
      <c r="K869" s="19">
        <f>IF(J869=0,0,J869/INDEX('Labor Dashboard'!$C$36:$C$39,MATCH(E869,'Labor Dashboard'!$B$36:$B$39,0)))</f>
        <v>1.0865671641791044</v>
      </c>
      <c r="L869" s="18">
        <f t="shared" si="27"/>
        <v>12</v>
      </c>
      <c r="M869" s="20">
        <f>G869*INDEX(Employees!$E$2:$E$17,MATCH(B869,Employees!$A$2:$A$17,0))</f>
        <v>120.60000000000001</v>
      </c>
    </row>
    <row r="870" spans="1:13" ht="18" x14ac:dyDescent="0.2">
      <c r="A870" s="17">
        <v>1756</v>
      </c>
      <c r="B870" s="17">
        <v>30</v>
      </c>
      <c r="C870" s="17" t="s">
        <v>632</v>
      </c>
      <c r="D870" s="17" t="s">
        <v>791</v>
      </c>
      <c r="E870" s="17" t="s">
        <v>792</v>
      </c>
      <c r="F870" s="17">
        <v>353</v>
      </c>
      <c r="G870" s="17">
        <v>7.2</v>
      </c>
      <c r="H870" s="17" t="str">
        <f>INDEX(Employees!$B$2:$B$17,MATCH(B870,Employees!$A$2:$A$17,0))</f>
        <v>Emerson</v>
      </c>
      <c r="I870" s="17" t="str">
        <f>INDEX(Employees!$C$2:$C$17,MATCH(B870,Employees!$A$2:$A$17,0))</f>
        <v>Shift Supervisor</v>
      </c>
      <c r="J870" s="25">
        <f t="shared" si="26"/>
        <v>49.027777777777779</v>
      </c>
      <c r="K870" s="19">
        <f>IF(J870=0,0,J870/INDEX('Labor Dashboard'!$C$36:$C$39,MATCH(E870,'Labor Dashboard'!$B$36:$B$39,0)))</f>
        <v>0.89141414141414144</v>
      </c>
      <c r="L870" s="18">
        <f t="shared" si="27"/>
        <v>12</v>
      </c>
      <c r="M870" s="20">
        <f>G870*INDEX(Employees!$E$2:$E$17,MATCH(B870,Employees!$A$2:$A$17,0))</f>
        <v>172.8</v>
      </c>
    </row>
    <row r="871" spans="1:13" ht="18" x14ac:dyDescent="0.2">
      <c r="A871" s="17">
        <v>1757</v>
      </c>
      <c r="B871" s="17">
        <v>31</v>
      </c>
      <c r="C871" s="17" t="s">
        <v>632</v>
      </c>
      <c r="D871" s="17" t="s">
        <v>791</v>
      </c>
      <c r="E871" s="17" t="s">
        <v>796</v>
      </c>
      <c r="F871" s="17">
        <v>193</v>
      </c>
      <c r="G871" s="17">
        <v>6.7</v>
      </c>
      <c r="H871" s="17" t="str">
        <f>INDEX(Employees!$B$2:$B$17,MATCH(B871,Employees!$A$2:$A$17,0))</f>
        <v>Finley</v>
      </c>
      <c r="I871" s="17" t="str">
        <f>INDEX(Employees!$C$2:$C$17,MATCH(B871,Employees!$A$2:$A$17,0))</f>
        <v>Shift Supervisor</v>
      </c>
      <c r="J871" s="25">
        <f t="shared" si="26"/>
        <v>28.805970149253731</v>
      </c>
      <c r="K871" s="19">
        <f>IF(J871=0,0,J871/INDEX('Labor Dashboard'!$C$36:$C$39,MATCH(E871,'Labor Dashboard'!$B$36:$B$39,0)))</f>
        <v>1.1522388059701492</v>
      </c>
      <c r="L871" s="18">
        <f t="shared" si="27"/>
        <v>12</v>
      </c>
      <c r="M871" s="20">
        <f>G871*INDEX(Employees!$E$2:$E$17,MATCH(B871,Employees!$A$2:$A$17,0))</f>
        <v>160.80000000000001</v>
      </c>
    </row>
    <row r="872" spans="1:13" ht="18" x14ac:dyDescent="0.2">
      <c r="A872" s="17">
        <v>1758</v>
      </c>
      <c r="B872" s="17">
        <v>32</v>
      </c>
      <c r="C872" s="17" t="s">
        <v>632</v>
      </c>
      <c r="D872" s="17" t="s">
        <v>793</v>
      </c>
      <c r="E872" s="17" t="s">
        <v>792</v>
      </c>
      <c r="F872" s="17">
        <v>400</v>
      </c>
      <c r="G872" s="17">
        <v>8</v>
      </c>
      <c r="H872" s="17" t="str">
        <f>INDEX(Employees!$B$2:$B$17,MATCH(B872,Employees!$A$2:$A$17,0))</f>
        <v>Sawyer</v>
      </c>
      <c r="I872" s="17" t="str">
        <f>INDEX(Employees!$C$2:$C$17,MATCH(B872,Employees!$A$2:$A$17,0))</f>
        <v>Shift Supervisor</v>
      </c>
      <c r="J872" s="25">
        <f t="shared" si="26"/>
        <v>50</v>
      </c>
      <c r="K872" s="19">
        <f>IF(J872=0,0,J872/INDEX('Labor Dashboard'!$C$36:$C$39,MATCH(E872,'Labor Dashboard'!$B$36:$B$39,0)))</f>
        <v>0.90909090909090906</v>
      </c>
      <c r="L872" s="18">
        <f t="shared" si="27"/>
        <v>12</v>
      </c>
      <c r="M872" s="20">
        <f>G872*INDEX(Employees!$E$2:$E$17,MATCH(B872,Employees!$A$2:$A$17,0))</f>
        <v>192</v>
      </c>
    </row>
    <row r="873" spans="1:13" ht="18" x14ac:dyDescent="0.2">
      <c r="A873" s="17">
        <v>1759</v>
      </c>
      <c r="B873" s="17">
        <v>17</v>
      </c>
      <c r="C873" s="17" t="s">
        <v>629</v>
      </c>
      <c r="D873" s="17" t="s">
        <v>793</v>
      </c>
      <c r="E873" s="17" t="s">
        <v>792</v>
      </c>
      <c r="F873" s="17">
        <v>401</v>
      </c>
      <c r="G873" s="17">
        <v>7.8</v>
      </c>
      <c r="H873" s="17" t="str">
        <f>INDEX(Employees!$B$2:$B$17,MATCH(B873,Employees!$A$2:$A$17,0))</f>
        <v>Jordan</v>
      </c>
      <c r="I873" s="17" t="str">
        <f>INDEX(Employees!$C$2:$C$17,MATCH(B873,Employees!$A$2:$A$17,0))</f>
        <v>Picker</v>
      </c>
      <c r="J873" s="25">
        <f t="shared" si="26"/>
        <v>51.410256410256409</v>
      </c>
      <c r="K873" s="19">
        <f>IF(J873=0,0,J873/INDEX('Labor Dashboard'!$C$36:$C$39,MATCH(E873,'Labor Dashboard'!$B$36:$B$39,0)))</f>
        <v>0.93473193473193472</v>
      </c>
      <c r="L873" s="18">
        <f t="shared" si="27"/>
        <v>12</v>
      </c>
      <c r="M873" s="20">
        <f>G873*INDEX(Employees!$E$2:$E$17,MATCH(B873,Employees!$A$2:$A$17,0))</f>
        <v>132.6</v>
      </c>
    </row>
    <row r="874" spans="1:13" ht="18" x14ac:dyDescent="0.2">
      <c r="A874" s="17">
        <v>1760</v>
      </c>
      <c r="B874" s="17">
        <v>18</v>
      </c>
      <c r="C874" s="17" t="s">
        <v>629</v>
      </c>
      <c r="D874" s="17" t="s">
        <v>791</v>
      </c>
      <c r="E874" s="17" t="s">
        <v>792</v>
      </c>
      <c r="F874" s="17">
        <v>432</v>
      </c>
      <c r="G874" s="17">
        <v>7.2</v>
      </c>
      <c r="H874" s="17" t="str">
        <f>INDEX(Employees!$B$2:$B$17,MATCH(B874,Employees!$A$2:$A$17,0))</f>
        <v>Casey</v>
      </c>
      <c r="I874" s="17" t="str">
        <f>INDEX(Employees!$C$2:$C$17,MATCH(B874,Employees!$A$2:$A$17,0))</f>
        <v>Picker</v>
      </c>
      <c r="J874" s="25">
        <f t="shared" si="26"/>
        <v>60</v>
      </c>
      <c r="K874" s="19">
        <f>IF(J874=0,0,J874/INDEX('Labor Dashboard'!$C$36:$C$39,MATCH(E874,'Labor Dashboard'!$B$36:$B$39,0)))</f>
        <v>1.0909090909090908</v>
      </c>
      <c r="L874" s="18">
        <f t="shared" si="27"/>
        <v>12</v>
      </c>
      <c r="M874" s="20">
        <f>G874*INDEX(Employees!$E$2:$E$17,MATCH(B874,Employees!$A$2:$A$17,0))</f>
        <v>122.4</v>
      </c>
    </row>
    <row r="875" spans="1:13" ht="18" x14ac:dyDescent="0.2">
      <c r="A875" s="17">
        <v>1761</v>
      </c>
      <c r="B875" s="17">
        <v>19</v>
      </c>
      <c r="C875" s="17" t="s">
        <v>629</v>
      </c>
      <c r="D875" s="17" t="s">
        <v>793</v>
      </c>
      <c r="E875" s="17" t="s">
        <v>792</v>
      </c>
      <c r="F875" s="17">
        <v>374</v>
      </c>
      <c r="G875" s="17">
        <v>6.8</v>
      </c>
      <c r="H875" s="17" t="str">
        <f>INDEX(Employees!$B$2:$B$17,MATCH(B875,Employees!$A$2:$A$17,0))</f>
        <v>Morgan</v>
      </c>
      <c r="I875" s="17" t="str">
        <f>INDEX(Employees!$C$2:$C$17,MATCH(B875,Employees!$A$2:$A$17,0))</f>
        <v>Picker</v>
      </c>
      <c r="J875" s="25">
        <f t="shared" si="26"/>
        <v>55</v>
      </c>
      <c r="K875" s="19">
        <f>IF(J875=0,0,J875/INDEX('Labor Dashboard'!$C$36:$C$39,MATCH(E875,'Labor Dashboard'!$B$36:$B$39,0)))</f>
        <v>1</v>
      </c>
      <c r="L875" s="18">
        <f t="shared" si="27"/>
        <v>12</v>
      </c>
      <c r="M875" s="20">
        <f>G875*INDEX(Employees!$E$2:$E$17,MATCH(B875,Employees!$A$2:$A$17,0))</f>
        <v>115.6</v>
      </c>
    </row>
    <row r="876" spans="1:13" ht="18" x14ac:dyDescent="0.2">
      <c r="A876" s="17">
        <v>1762</v>
      </c>
      <c r="B876" s="17">
        <v>20</v>
      </c>
      <c r="C876" s="17" t="s">
        <v>629</v>
      </c>
      <c r="D876" s="17" t="s">
        <v>791</v>
      </c>
      <c r="E876" s="17" t="s">
        <v>792</v>
      </c>
      <c r="F876" s="17">
        <v>470</v>
      </c>
      <c r="G876" s="17">
        <v>7.9</v>
      </c>
      <c r="H876" s="17" t="str">
        <f>INDEX(Employees!$B$2:$B$17,MATCH(B876,Employees!$A$2:$A$17,0))</f>
        <v>Taylor</v>
      </c>
      <c r="I876" s="17" t="str">
        <f>INDEX(Employees!$C$2:$C$17,MATCH(B876,Employees!$A$2:$A$17,0))</f>
        <v>Picker</v>
      </c>
      <c r="J876" s="25">
        <f t="shared" si="26"/>
        <v>59.493670886075947</v>
      </c>
      <c r="K876" s="19">
        <f>IF(J876=0,0,J876/INDEX('Labor Dashboard'!$C$36:$C$39,MATCH(E876,'Labor Dashboard'!$B$36:$B$39,0)))</f>
        <v>1.0817031070195626</v>
      </c>
      <c r="L876" s="18">
        <f t="shared" si="27"/>
        <v>12</v>
      </c>
      <c r="M876" s="20">
        <f>G876*INDEX(Employees!$E$2:$E$17,MATCH(B876,Employees!$A$2:$A$17,0))</f>
        <v>134.30000000000001</v>
      </c>
    </row>
    <row r="877" spans="1:13" ht="18" x14ac:dyDescent="0.2">
      <c r="A877" s="17">
        <v>1763</v>
      </c>
      <c r="B877" s="17">
        <v>21</v>
      </c>
      <c r="C877" s="17" t="s">
        <v>629</v>
      </c>
      <c r="D877" s="17" t="s">
        <v>793</v>
      </c>
      <c r="E877" s="17" t="s">
        <v>794</v>
      </c>
      <c r="F877" s="17">
        <v>296</v>
      </c>
      <c r="G877" s="17">
        <v>6.8</v>
      </c>
      <c r="H877" s="17" t="str">
        <f>INDEX(Employees!$B$2:$B$17,MATCH(B877,Employees!$A$2:$A$17,0))</f>
        <v>Riley</v>
      </c>
      <c r="I877" s="17" t="str">
        <f>INDEX(Employees!$C$2:$C$17,MATCH(B877,Employees!$A$2:$A$17,0))</f>
        <v>Packer</v>
      </c>
      <c r="J877" s="25">
        <f t="shared" si="26"/>
        <v>43.529411764705884</v>
      </c>
      <c r="K877" s="19">
        <f>IF(J877=0,0,J877/INDEX('Labor Dashboard'!$C$36:$C$39,MATCH(E877,'Labor Dashboard'!$B$36:$B$39,0)))</f>
        <v>0.9673202614379085</v>
      </c>
      <c r="L877" s="18">
        <f t="shared" si="27"/>
        <v>12</v>
      </c>
      <c r="M877" s="20">
        <f>G877*INDEX(Employees!$E$2:$E$17,MATCH(B877,Employees!$A$2:$A$17,0))</f>
        <v>115.6</v>
      </c>
    </row>
    <row r="878" spans="1:13" ht="18" x14ac:dyDescent="0.2">
      <c r="A878" s="17">
        <v>1764</v>
      </c>
      <c r="B878" s="17">
        <v>22</v>
      </c>
      <c r="C878" s="17" t="s">
        <v>629</v>
      </c>
      <c r="D878" s="17" t="s">
        <v>791</v>
      </c>
      <c r="E878" s="17" t="s">
        <v>794</v>
      </c>
      <c r="F878" s="17">
        <v>318</v>
      </c>
      <c r="G878" s="17">
        <v>6.5</v>
      </c>
      <c r="H878" s="17" t="str">
        <f>INDEX(Employees!$B$2:$B$17,MATCH(B878,Employees!$A$2:$A$17,0))</f>
        <v>Avery</v>
      </c>
      <c r="I878" s="17" t="str">
        <f>INDEX(Employees!$C$2:$C$17,MATCH(B878,Employees!$A$2:$A$17,0))</f>
        <v>Packer</v>
      </c>
      <c r="J878" s="25">
        <f t="shared" si="26"/>
        <v>48.92307692307692</v>
      </c>
      <c r="K878" s="19">
        <f>IF(J878=0,0,J878/INDEX('Labor Dashboard'!$C$36:$C$39,MATCH(E878,'Labor Dashboard'!$B$36:$B$39,0)))</f>
        <v>1.0871794871794871</v>
      </c>
      <c r="L878" s="18">
        <f t="shared" si="27"/>
        <v>12</v>
      </c>
      <c r="M878" s="20">
        <f>G878*INDEX(Employees!$E$2:$E$17,MATCH(B878,Employees!$A$2:$A$17,0))</f>
        <v>110.5</v>
      </c>
    </row>
    <row r="879" spans="1:13" ht="18" x14ac:dyDescent="0.2">
      <c r="A879" s="17">
        <v>1765</v>
      </c>
      <c r="B879" s="17">
        <v>23</v>
      </c>
      <c r="C879" s="17" t="s">
        <v>629</v>
      </c>
      <c r="D879" s="17" t="s">
        <v>793</v>
      </c>
      <c r="E879" s="17" t="s">
        <v>794</v>
      </c>
      <c r="F879" s="17">
        <v>432</v>
      </c>
      <c r="G879" s="17">
        <v>8.3000000000000007</v>
      </c>
      <c r="H879" s="17" t="str">
        <f>INDEX(Employees!$B$2:$B$17,MATCH(B879,Employees!$A$2:$A$17,0))</f>
        <v>Cameron</v>
      </c>
      <c r="I879" s="17" t="str">
        <f>INDEX(Employees!$C$2:$C$17,MATCH(B879,Employees!$A$2:$A$17,0))</f>
        <v>Packer</v>
      </c>
      <c r="J879" s="25">
        <f t="shared" si="26"/>
        <v>52.048192771084331</v>
      </c>
      <c r="K879" s="19">
        <f>IF(J879=0,0,J879/INDEX('Labor Dashboard'!$C$36:$C$39,MATCH(E879,'Labor Dashboard'!$B$36:$B$39,0)))</f>
        <v>1.1566265060240963</v>
      </c>
      <c r="L879" s="18">
        <f t="shared" si="27"/>
        <v>12</v>
      </c>
      <c r="M879" s="20">
        <f>G879*INDEX(Employees!$E$2:$E$17,MATCH(B879,Employees!$A$2:$A$17,0))</f>
        <v>141.10000000000002</v>
      </c>
    </row>
    <row r="880" spans="1:13" ht="18" x14ac:dyDescent="0.2">
      <c r="A880" s="17">
        <v>1766</v>
      </c>
      <c r="B880" s="17">
        <v>24</v>
      </c>
      <c r="C880" s="17" t="s">
        <v>629</v>
      </c>
      <c r="D880" s="17" t="s">
        <v>791</v>
      </c>
      <c r="E880" s="17" t="s">
        <v>792</v>
      </c>
      <c r="F880" s="17">
        <v>449</v>
      </c>
      <c r="G880" s="17">
        <v>7.6</v>
      </c>
      <c r="H880" s="17" t="str">
        <f>INDEX(Employees!$B$2:$B$17,MATCH(B880,Employees!$A$2:$A$17,0))</f>
        <v>Dakota</v>
      </c>
      <c r="I880" s="17" t="str">
        <f>INDEX(Employees!$C$2:$C$17,MATCH(B880,Employees!$A$2:$A$17,0))</f>
        <v>Forklift Operator</v>
      </c>
      <c r="J880" s="25">
        <f t="shared" si="26"/>
        <v>59.078947368421055</v>
      </c>
      <c r="K880" s="19">
        <f>IF(J880=0,0,J880/INDEX('Labor Dashboard'!$C$36:$C$39,MATCH(E880,'Labor Dashboard'!$B$36:$B$39,0)))</f>
        <v>1.0741626794258374</v>
      </c>
      <c r="L880" s="18">
        <f t="shared" si="27"/>
        <v>12</v>
      </c>
      <c r="M880" s="20">
        <f>G880*INDEX(Employees!$E$2:$E$17,MATCH(B880,Employees!$A$2:$A$17,0))</f>
        <v>148.19999999999999</v>
      </c>
    </row>
    <row r="881" spans="1:13" ht="18" x14ac:dyDescent="0.2">
      <c r="A881" s="17">
        <v>1767</v>
      </c>
      <c r="B881" s="17">
        <v>25</v>
      </c>
      <c r="C881" s="17" t="s">
        <v>629</v>
      </c>
      <c r="D881" s="17" t="s">
        <v>791</v>
      </c>
      <c r="E881" s="17" t="s">
        <v>795</v>
      </c>
      <c r="F881" s="17">
        <v>226</v>
      </c>
      <c r="G881" s="17">
        <v>7.4</v>
      </c>
      <c r="H881" s="17" t="str">
        <f>INDEX(Employees!$B$2:$B$17,MATCH(B881,Employees!$A$2:$A$17,0))</f>
        <v>Hayden</v>
      </c>
      <c r="I881" s="17" t="str">
        <f>INDEX(Employees!$C$2:$C$17,MATCH(B881,Employees!$A$2:$A$17,0))</f>
        <v>Forklift Operator</v>
      </c>
      <c r="J881" s="25">
        <f t="shared" si="26"/>
        <v>30.54054054054054</v>
      </c>
      <c r="K881" s="19">
        <f>IF(J881=0,0,J881/INDEX('Labor Dashboard'!$C$36:$C$39,MATCH(E881,'Labor Dashboard'!$B$36:$B$39,0)))</f>
        <v>1.0180180180180181</v>
      </c>
      <c r="L881" s="18">
        <f t="shared" si="27"/>
        <v>12</v>
      </c>
      <c r="M881" s="20">
        <f>G881*INDEX(Employees!$E$2:$E$17,MATCH(B881,Employees!$A$2:$A$17,0))</f>
        <v>144.30000000000001</v>
      </c>
    </row>
    <row r="882" spans="1:13" ht="18" x14ac:dyDescent="0.2">
      <c r="A882" s="17">
        <v>1768</v>
      </c>
      <c r="B882" s="17">
        <v>26</v>
      </c>
      <c r="C882" s="17" t="s">
        <v>629</v>
      </c>
      <c r="D882" s="17" t="s">
        <v>793</v>
      </c>
      <c r="E882" s="17" t="s">
        <v>795</v>
      </c>
      <c r="F882" s="17">
        <v>162</v>
      </c>
      <c r="G882" s="17">
        <v>6.6</v>
      </c>
      <c r="H882" s="17" t="str">
        <f>INDEX(Employees!$B$2:$B$17,MATCH(B882,Employees!$A$2:$A$17,0))</f>
        <v>Reese</v>
      </c>
      <c r="I882" s="17" t="str">
        <f>INDEX(Employees!$C$2:$C$17,MATCH(B882,Employees!$A$2:$A$17,0))</f>
        <v>Receiving Clerk</v>
      </c>
      <c r="J882" s="25">
        <f t="shared" si="26"/>
        <v>24.545454545454547</v>
      </c>
      <c r="K882" s="19">
        <f>IF(J882=0,0,J882/INDEX('Labor Dashboard'!$C$36:$C$39,MATCH(E882,'Labor Dashboard'!$B$36:$B$39,0)))</f>
        <v>0.81818181818181823</v>
      </c>
      <c r="L882" s="18">
        <f t="shared" si="27"/>
        <v>12</v>
      </c>
      <c r="M882" s="20">
        <f>G882*INDEX(Employees!$E$2:$E$17,MATCH(B882,Employees!$A$2:$A$17,0))</f>
        <v>118.8</v>
      </c>
    </row>
    <row r="883" spans="1:13" ht="18" x14ac:dyDescent="0.2">
      <c r="A883" s="17">
        <v>1769</v>
      </c>
      <c r="B883" s="17">
        <v>27</v>
      </c>
      <c r="C883" s="17" t="s">
        <v>629</v>
      </c>
      <c r="D883" s="17" t="s">
        <v>791</v>
      </c>
      <c r="E883" s="17" t="s">
        <v>795</v>
      </c>
      <c r="F883" s="17">
        <v>164</v>
      </c>
      <c r="G883" s="17">
        <v>6.8</v>
      </c>
      <c r="H883" s="17" t="str">
        <f>INDEX(Employees!$B$2:$B$17,MATCH(B883,Employees!$A$2:$A$17,0))</f>
        <v>Skyler</v>
      </c>
      <c r="I883" s="17" t="str">
        <f>INDEX(Employees!$C$2:$C$17,MATCH(B883,Employees!$A$2:$A$17,0))</f>
        <v>Receiving Clerk</v>
      </c>
      <c r="J883" s="25">
        <f t="shared" si="26"/>
        <v>24.117647058823529</v>
      </c>
      <c r="K883" s="19">
        <f>IF(J883=0,0,J883/INDEX('Labor Dashboard'!$C$36:$C$39,MATCH(E883,'Labor Dashboard'!$B$36:$B$39,0)))</f>
        <v>0.80392156862745101</v>
      </c>
      <c r="L883" s="18">
        <f t="shared" si="27"/>
        <v>12</v>
      </c>
      <c r="M883" s="20">
        <f>G883*INDEX(Employees!$E$2:$E$17,MATCH(B883,Employees!$A$2:$A$17,0))</f>
        <v>122.39999999999999</v>
      </c>
    </row>
    <row r="884" spans="1:13" ht="18" x14ac:dyDescent="0.2">
      <c r="A884" s="17">
        <v>1770</v>
      </c>
      <c r="B884" s="17">
        <v>28</v>
      </c>
      <c r="C884" s="17" t="s">
        <v>629</v>
      </c>
      <c r="D884" s="17" t="s">
        <v>791</v>
      </c>
      <c r="E884" s="17" t="s">
        <v>796</v>
      </c>
      <c r="F884" s="17">
        <v>203</v>
      </c>
      <c r="G884" s="17">
        <v>8.3000000000000007</v>
      </c>
      <c r="H884" s="17" t="str">
        <f>INDEX(Employees!$B$2:$B$17,MATCH(B884,Employees!$A$2:$A$17,0))</f>
        <v>Peyton</v>
      </c>
      <c r="I884" s="17" t="str">
        <f>INDEX(Employees!$C$2:$C$17,MATCH(B884,Employees!$A$2:$A$17,0))</f>
        <v>Cycle Counter</v>
      </c>
      <c r="J884" s="25">
        <f t="shared" si="26"/>
        <v>24.457831325301203</v>
      </c>
      <c r="K884" s="19">
        <f>IF(J884=0,0,J884/INDEX('Labor Dashboard'!$C$36:$C$39,MATCH(E884,'Labor Dashboard'!$B$36:$B$39,0)))</f>
        <v>0.97831325301204819</v>
      </c>
      <c r="L884" s="18">
        <f t="shared" si="27"/>
        <v>12</v>
      </c>
      <c r="M884" s="20">
        <f>G884*INDEX(Employees!$E$2:$E$17,MATCH(B884,Employees!$A$2:$A$17,0))</f>
        <v>149.4</v>
      </c>
    </row>
    <row r="885" spans="1:13" ht="18" x14ac:dyDescent="0.2">
      <c r="A885" s="17">
        <v>1771</v>
      </c>
      <c r="B885" s="17">
        <v>29</v>
      </c>
      <c r="C885" s="17" t="s">
        <v>629</v>
      </c>
      <c r="D885" s="17" t="s">
        <v>791</v>
      </c>
      <c r="E885" s="17" t="s">
        <v>796</v>
      </c>
      <c r="F885" s="17">
        <v>194</v>
      </c>
      <c r="G885" s="17">
        <v>7.8</v>
      </c>
      <c r="H885" s="17" t="str">
        <f>INDEX(Employees!$B$2:$B$17,MATCH(B885,Employees!$A$2:$A$17,0))</f>
        <v>Rowan</v>
      </c>
      <c r="I885" s="17" t="str">
        <f>INDEX(Employees!$C$2:$C$17,MATCH(B885,Employees!$A$2:$A$17,0))</f>
        <v>Cycle Counter</v>
      </c>
      <c r="J885" s="25">
        <f t="shared" si="26"/>
        <v>24.871794871794872</v>
      </c>
      <c r="K885" s="19">
        <f>IF(J885=0,0,J885/INDEX('Labor Dashboard'!$C$36:$C$39,MATCH(E885,'Labor Dashboard'!$B$36:$B$39,0)))</f>
        <v>0.99487179487179489</v>
      </c>
      <c r="L885" s="18">
        <f t="shared" si="27"/>
        <v>12</v>
      </c>
      <c r="M885" s="20">
        <f>G885*INDEX(Employees!$E$2:$E$17,MATCH(B885,Employees!$A$2:$A$17,0))</f>
        <v>140.4</v>
      </c>
    </row>
    <row r="886" spans="1:13" ht="18" x14ac:dyDescent="0.2">
      <c r="A886" s="17">
        <v>1772</v>
      </c>
      <c r="B886" s="17">
        <v>30</v>
      </c>
      <c r="C886" s="17" t="s">
        <v>629</v>
      </c>
      <c r="D886" s="17" t="s">
        <v>793</v>
      </c>
      <c r="E886" s="17" t="s">
        <v>792</v>
      </c>
      <c r="F886" s="17">
        <v>326</v>
      </c>
      <c r="G886" s="17">
        <v>7.6</v>
      </c>
      <c r="H886" s="17" t="str">
        <f>INDEX(Employees!$B$2:$B$17,MATCH(B886,Employees!$A$2:$A$17,0))</f>
        <v>Emerson</v>
      </c>
      <c r="I886" s="17" t="str">
        <f>INDEX(Employees!$C$2:$C$17,MATCH(B886,Employees!$A$2:$A$17,0))</f>
        <v>Shift Supervisor</v>
      </c>
      <c r="J886" s="25">
        <f t="shared" si="26"/>
        <v>42.894736842105267</v>
      </c>
      <c r="K886" s="19">
        <f>IF(J886=0,0,J886/INDEX('Labor Dashboard'!$C$36:$C$39,MATCH(E886,'Labor Dashboard'!$B$36:$B$39,0)))</f>
        <v>0.77990430622009577</v>
      </c>
      <c r="L886" s="18">
        <f t="shared" si="27"/>
        <v>12</v>
      </c>
      <c r="M886" s="20">
        <f>G886*INDEX(Employees!$E$2:$E$17,MATCH(B886,Employees!$A$2:$A$17,0))</f>
        <v>182.39999999999998</v>
      </c>
    </row>
    <row r="887" spans="1:13" ht="18" x14ac:dyDescent="0.2">
      <c r="A887" s="17">
        <v>1773</v>
      </c>
      <c r="B887" s="17">
        <v>31</v>
      </c>
      <c r="C887" s="17" t="s">
        <v>629</v>
      </c>
      <c r="D887" s="17" t="s">
        <v>793</v>
      </c>
      <c r="E887" s="17" t="s">
        <v>795</v>
      </c>
      <c r="F887" s="17">
        <v>227</v>
      </c>
      <c r="G887" s="17">
        <v>6.9</v>
      </c>
      <c r="H887" s="17" t="str">
        <f>INDEX(Employees!$B$2:$B$17,MATCH(B887,Employees!$A$2:$A$17,0))</f>
        <v>Finley</v>
      </c>
      <c r="I887" s="17" t="str">
        <f>INDEX(Employees!$C$2:$C$17,MATCH(B887,Employees!$A$2:$A$17,0))</f>
        <v>Shift Supervisor</v>
      </c>
      <c r="J887" s="25">
        <f t="shared" si="26"/>
        <v>32.89855072463768</v>
      </c>
      <c r="K887" s="19">
        <f>IF(J887=0,0,J887/INDEX('Labor Dashboard'!$C$36:$C$39,MATCH(E887,'Labor Dashboard'!$B$36:$B$39,0)))</f>
        <v>1.0966183574879227</v>
      </c>
      <c r="L887" s="18">
        <f t="shared" si="27"/>
        <v>12</v>
      </c>
      <c r="M887" s="20">
        <f>G887*INDEX(Employees!$E$2:$E$17,MATCH(B887,Employees!$A$2:$A$17,0))</f>
        <v>165.60000000000002</v>
      </c>
    </row>
    <row r="888" spans="1:13" ht="18" x14ac:dyDescent="0.2">
      <c r="A888" s="17">
        <v>1774</v>
      </c>
      <c r="B888" s="17">
        <v>32</v>
      </c>
      <c r="C888" s="17" t="s">
        <v>629</v>
      </c>
      <c r="D888" s="17" t="s">
        <v>793</v>
      </c>
      <c r="E888" s="17" t="s">
        <v>792</v>
      </c>
      <c r="F888" s="17">
        <v>379</v>
      </c>
      <c r="G888" s="17">
        <v>7.6</v>
      </c>
      <c r="H888" s="17" t="str">
        <f>INDEX(Employees!$B$2:$B$17,MATCH(B888,Employees!$A$2:$A$17,0))</f>
        <v>Sawyer</v>
      </c>
      <c r="I888" s="17" t="str">
        <f>INDEX(Employees!$C$2:$C$17,MATCH(B888,Employees!$A$2:$A$17,0))</f>
        <v>Shift Supervisor</v>
      </c>
      <c r="J888" s="25">
        <f t="shared" si="26"/>
        <v>49.868421052631582</v>
      </c>
      <c r="K888" s="19">
        <f>IF(J888=0,0,J888/INDEX('Labor Dashboard'!$C$36:$C$39,MATCH(E888,'Labor Dashboard'!$B$36:$B$39,0)))</f>
        <v>0.90669856459330145</v>
      </c>
      <c r="L888" s="18">
        <f t="shared" si="27"/>
        <v>12</v>
      </c>
      <c r="M888" s="20">
        <f>G888*INDEX(Employees!$E$2:$E$17,MATCH(B888,Employees!$A$2:$A$17,0))</f>
        <v>182.39999999999998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56"/>
  <sheetViews>
    <sheetView showGridLines="0" topLeftCell="A10" zoomScaleNormal="100" workbookViewId="0">
      <selection activeCell="C35" sqref="C35"/>
    </sheetView>
  </sheetViews>
  <sheetFormatPr baseColWidth="10" defaultColWidth="8.6640625" defaultRowHeight="19" x14ac:dyDescent="0.25"/>
  <cols>
    <col min="1" max="1" width="3" style="15" customWidth="1"/>
    <col min="2" max="2" width="22" style="15" customWidth="1"/>
    <col min="3" max="3" width="27.83203125" style="15" customWidth="1"/>
    <col min="4" max="4" width="28" style="15" customWidth="1"/>
    <col min="5" max="5" width="30.33203125" style="15" customWidth="1"/>
    <col min="6" max="6" width="26.33203125" style="15" customWidth="1"/>
    <col min="7" max="9" width="8.6640625" style="15"/>
    <col min="10" max="10" width="9.83203125" style="15" bestFit="1" customWidth="1"/>
    <col min="11" max="13" width="8.6640625" style="15"/>
    <col min="14" max="14" width="8.83203125" style="15" bestFit="1" customWidth="1"/>
    <col min="15" max="17" width="8.6640625" style="15"/>
    <col min="18" max="18" width="8.83203125" style="15" bestFit="1" customWidth="1"/>
    <col min="19" max="20" width="8.6640625" style="15"/>
  </cols>
  <sheetData>
    <row r="2" spans="2:18" x14ac:dyDescent="0.25">
      <c r="B2" s="10" t="s">
        <v>802</v>
      </c>
      <c r="H2" s="21" t="s">
        <v>78</v>
      </c>
    </row>
    <row r="3" spans="2:18" x14ac:dyDescent="0.25">
      <c r="B3" s="11" t="s">
        <v>803</v>
      </c>
    </row>
    <row r="5" spans="2:18" x14ac:dyDescent="0.25">
      <c r="B5" s="14" t="s">
        <v>15</v>
      </c>
      <c r="F5" s="14" t="s">
        <v>804</v>
      </c>
      <c r="J5" s="14" t="s">
        <v>805</v>
      </c>
      <c r="N5" s="14" t="s">
        <v>12</v>
      </c>
      <c r="R5" s="14" t="s">
        <v>806</v>
      </c>
    </row>
    <row r="6" spans="2:18" x14ac:dyDescent="0.25">
      <c r="B6" s="22">
        <f>COUNTA(LaborLog!B2:B888)</f>
        <v>887</v>
      </c>
      <c r="F6" s="26">
        <f>SUM(LaborLog!G2:G888)</f>
        <v>6635.5999999999922</v>
      </c>
      <c r="J6" s="26">
        <f>SUM(LaborLog!F2:F888)</f>
        <v>270702</v>
      </c>
      <c r="N6" s="22">
        <f>COUNTA(Employees!A2:A17)</f>
        <v>16</v>
      </c>
      <c r="R6" s="23">
        <f>AVERAGE(LaborLog!K2:K888)</f>
        <v>0.98001035907077794</v>
      </c>
    </row>
    <row r="8" spans="2:18" x14ac:dyDescent="0.25">
      <c r="B8" s="10" t="s">
        <v>807</v>
      </c>
    </row>
    <row r="9" spans="2:18" x14ac:dyDescent="0.25">
      <c r="B9" s="16" t="s">
        <v>784</v>
      </c>
      <c r="C9" s="16" t="s">
        <v>808</v>
      </c>
      <c r="D9" s="16" t="s">
        <v>809</v>
      </c>
      <c r="E9" s="16" t="s">
        <v>810</v>
      </c>
      <c r="F9" s="16" t="s">
        <v>806</v>
      </c>
    </row>
    <row r="10" spans="2:18" x14ac:dyDescent="0.25">
      <c r="B10" s="17" t="s">
        <v>796</v>
      </c>
      <c r="C10" s="18">
        <f>COUNTIFS(LaborLog!$E$2:$E$888,B10)</f>
        <v>146</v>
      </c>
      <c r="D10" s="27">
        <f>SUMIFS(LaborLog!$G$2:$G$888,LaborLog!$E$2:$E$888,B10)</f>
        <v>1096.7999999999997</v>
      </c>
      <c r="E10" s="25">
        <f>IF(D10=0,0,SUMIFS(LaborLog!$F$2:$F$888,LaborLog!$E$2:$E$888,B10)/D10)</f>
        <v>24.502188183807444</v>
      </c>
      <c r="F10" s="19">
        <f>AVERAGEIFS(LaborLog!$K$2:$K$888,LaborLog!$E$2:$E$888,B10)</f>
        <v>0.97964133204068038</v>
      </c>
    </row>
    <row r="11" spans="2:18" x14ac:dyDescent="0.25">
      <c r="B11" s="17" t="s">
        <v>794</v>
      </c>
      <c r="C11" s="18">
        <f>COUNTIFS(LaborLog!$E$2:$E$888,B11)</f>
        <v>206</v>
      </c>
      <c r="D11" s="27">
        <f>SUMIFS(LaborLog!$G$2:$G$888,LaborLog!$E$2:$E$888,B11)</f>
        <v>1541.8000000000006</v>
      </c>
      <c r="E11" s="25">
        <f>IF(D11=0,0,SUMIFS(LaborLog!$F$2:$F$888,LaborLog!$E$2:$E$888,B11)/D11)</f>
        <v>46.148657413412877</v>
      </c>
      <c r="F11" s="19">
        <f>AVERAGEIFS(LaborLog!$K$2:$K$888,LaborLog!$E$2:$E$888,B11)</f>
        <v>1.0257597223552626</v>
      </c>
    </row>
    <row r="12" spans="2:18" x14ac:dyDescent="0.25">
      <c r="B12" s="17" t="s">
        <v>792</v>
      </c>
      <c r="C12" s="18">
        <f>COUNTIFS(LaborLog!$E$2:$E$888,B12)</f>
        <v>311</v>
      </c>
      <c r="D12" s="27">
        <f>SUMIFS(LaborLog!$G$2:$G$888,LaborLog!$E$2:$E$888,B12)</f>
        <v>2323.6999999999994</v>
      </c>
      <c r="E12" s="25">
        <f>IF(D12=0,0,SUMIFS(LaborLog!$F$2:$F$888,LaborLog!$E$2:$E$888,B12)/D12)</f>
        <v>54.185566122993514</v>
      </c>
      <c r="F12" s="19">
        <f>AVERAGEIFS(LaborLog!$K$2:$K$888,LaborLog!$E$2:$E$888,B12)</f>
        <v>0.98509710171675113</v>
      </c>
    </row>
    <row r="13" spans="2:18" x14ac:dyDescent="0.25">
      <c r="B13" s="17" t="s">
        <v>795</v>
      </c>
      <c r="C13" s="18">
        <f>COUNTIFS(LaborLog!$E$2:$E$888,B13)</f>
        <v>224</v>
      </c>
      <c r="D13" s="27">
        <f>SUMIFS(LaborLog!$G$2:$G$888,LaborLog!$E$2:$E$888,B13)</f>
        <v>1673.3000000000006</v>
      </c>
      <c r="E13" s="25">
        <f>IF(D13=0,0,SUMIFS(LaborLog!$F$2:$F$888,LaborLog!$E$2:$E$888,B13)/D13)</f>
        <v>27.947767883822376</v>
      </c>
      <c r="F13" s="19">
        <f>AVERAGEIFS(LaborLog!$K$2:$K$888,LaborLog!$E$2:$E$888,B13)</f>
        <v>0.9311154132979782</v>
      </c>
    </row>
    <row r="15" spans="2:18" x14ac:dyDescent="0.25">
      <c r="B15" s="10" t="s">
        <v>811</v>
      </c>
    </row>
    <row r="16" spans="2:18" x14ac:dyDescent="0.25">
      <c r="B16" s="16" t="s">
        <v>812</v>
      </c>
      <c r="C16" s="16" t="s">
        <v>740</v>
      </c>
      <c r="D16" s="16" t="s">
        <v>808</v>
      </c>
      <c r="E16" s="16" t="s">
        <v>809</v>
      </c>
      <c r="F16" s="16" t="s">
        <v>810</v>
      </c>
    </row>
    <row r="17" spans="2:6" x14ac:dyDescent="0.25">
      <c r="B17" s="17" t="s">
        <v>743</v>
      </c>
      <c r="C17" s="17" t="str">
        <f>INDEX(Employees!$C$2:$C$17,MATCH(B17,Employees!$B$2:$B$17,0))</f>
        <v>Picker</v>
      </c>
      <c r="D17" s="18">
        <f>COUNTIFS(LaborLog!$H$2:$H$888,B17)</f>
        <v>56</v>
      </c>
      <c r="E17" s="27">
        <f>SUMIFS(LaborLog!$G$2:$G$888,LaborLog!$H$2:$H$888,B17)</f>
        <v>421.5</v>
      </c>
      <c r="F17" s="25">
        <f>IF(E17=0,0,SUMIFS(LaborLog!$F$2:$F$888,LaborLog!$H$2:$H$888,B17)/E17)</f>
        <v>48.733096085409251</v>
      </c>
    </row>
    <row r="18" spans="2:6" x14ac:dyDescent="0.25">
      <c r="B18" s="17" t="s">
        <v>746</v>
      </c>
      <c r="C18" s="17" t="str">
        <f>INDEX(Employees!$C$2:$C$17,MATCH(B18,Employees!$B$2:$B$17,0))</f>
        <v>Picker</v>
      </c>
      <c r="D18" s="18">
        <f>COUNTIFS(LaborLog!$H$2:$H$888,B18)</f>
        <v>56</v>
      </c>
      <c r="E18" s="27">
        <f>SUMIFS(LaborLog!$G$2:$G$888,LaborLog!$H$2:$H$888,B18)</f>
        <v>424.2999999999999</v>
      </c>
      <c r="F18" s="25">
        <f>IF(E18=0,0,SUMIFS(LaborLog!$F$2:$F$888,LaborLog!$H$2:$H$888,B18)/E18)</f>
        <v>58.416214942257852</v>
      </c>
    </row>
    <row r="19" spans="2:6" x14ac:dyDescent="0.25">
      <c r="B19" s="17" t="s">
        <v>748</v>
      </c>
      <c r="C19" s="17" t="str">
        <f>INDEX(Employees!$C$2:$C$17,MATCH(B19,Employees!$B$2:$B$17,0))</f>
        <v>Picker</v>
      </c>
      <c r="D19" s="18">
        <f>COUNTIFS(LaborLog!$H$2:$H$888,B19)</f>
        <v>55</v>
      </c>
      <c r="E19" s="27">
        <f>SUMIFS(LaborLog!$G$2:$G$888,LaborLog!$H$2:$H$888,B19)</f>
        <v>407.59999999999997</v>
      </c>
      <c r="F19" s="25">
        <f>IF(E19=0,0,SUMIFS(LaborLog!$F$2:$F$888,LaborLog!$H$2:$H$888,B19)/E19)</f>
        <v>56.602060843964679</v>
      </c>
    </row>
    <row r="20" spans="2:6" x14ac:dyDescent="0.25">
      <c r="B20" s="17" t="s">
        <v>750</v>
      </c>
      <c r="C20" s="17" t="str">
        <f>INDEX(Employees!$C$2:$C$17,MATCH(B20,Employees!$B$2:$B$17,0))</f>
        <v>Picker</v>
      </c>
      <c r="D20" s="18">
        <f>COUNTIFS(LaborLog!$H$2:$H$888,B20)</f>
        <v>51</v>
      </c>
      <c r="E20" s="27">
        <f>SUMIFS(LaborLog!$G$2:$G$888,LaborLog!$H$2:$H$888,B20)</f>
        <v>373.59999999999991</v>
      </c>
      <c r="F20" s="25">
        <f>IF(E20=0,0,SUMIFS(LaborLog!$F$2:$F$888,LaborLog!$H$2:$H$888,B20)/E20)</f>
        <v>54.587794432548193</v>
      </c>
    </row>
    <row r="21" spans="2:6" x14ac:dyDescent="0.25">
      <c r="B21" s="17" t="s">
        <v>752</v>
      </c>
      <c r="C21" s="17" t="str">
        <f>INDEX(Employees!$C$2:$C$17,MATCH(B21,Employees!$B$2:$B$17,0))</f>
        <v>Packer</v>
      </c>
      <c r="D21" s="18">
        <f>COUNTIFS(LaborLog!$H$2:$H$888,B21)</f>
        <v>57</v>
      </c>
      <c r="E21" s="27">
        <f>SUMIFS(LaborLog!$G$2:$G$888,LaborLog!$H$2:$H$888,B21)</f>
        <v>423.19999999999993</v>
      </c>
      <c r="F21" s="25">
        <f>IF(E21=0,0,SUMIFS(LaborLog!$F$2:$F$888,LaborLog!$H$2:$H$888,B21)/E21)</f>
        <v>39.990548204158799</v>
      </c>
    </row>
    <row r="22" spans="2:6" x14ac:dyDescent="0.25">
      <c r="B22" s="17" t="s">
        <v>755</v>
      </c>
      <c r="C22" s="17" t="str">
        <f>INDEX(Employees!$C$2:$C$17,MATCH(B22,Employees!$B$2:$B$17,0))</f>
        <v>Packer</v>
      </c>
      <c r="D22" s="18">
        <f>COUNTIFS(LaborLog!$H$2:$H$888,B22)</f>
        <v>55</v>
      </c>
      <c r="E22" s="27">
        <f>SUMIFS(LaborLog!$G$2:$G$888,LaborLog!$H$2:$H$888,B22)</f>
        <v>405.99999999999983</v>
      </c>
      <c r="F22" s="25">
        <f>IF(E22=0,0,SUMIFS(LaborLog!$F$2:$F$888,LaborLog!$H$2:$H$888,B22)/E22)</f>
        <v>49.770935960591153</v>
      </c>
    </row>
    <row r="23" spans="2:6" x14ac:dyDescent="0.25">
      <c r="B23" s="17" t="s">
        <v>757</v>
      </c>
      <c r="C23" s="17" t="str">
        <f>INDEX(Employees!$C$2:$C$17,MATCH(B23,Employees!$B$2:$B$17,0))</f>
        <v>Packer</v>
      </c>
      <c r="D23" s="18">
        <f>COUNTIFS(LaborLog!$H$2:$H$888,B23)</f>
        <v>56</v>
      </c>
      <c r="E23" s="27">
        <f>SUMIFS(LaborLog!$G$2:$G$888,LaborLog!$H$2:$H$888,B23)</f>
        <v>424.59999999999991</v>
      </c>
      <c r="F23" s="25">
        <f>IF(E23=0,0,SUMIFS(LaborLog!$F$2:$F$888,LaborLog!$H$2:$H$888,B23)/E23)</f>
        <v>49.941121055110706</v>
      </c>
    </row>
    <row r="24" spans="2:6" x14ac:dyDescent="0.25">
      <c r="B24" s="17" t="s">
        <v>759</v>
      </c>
      <c r="C24" s="17" t="str">
        <f>INDEX(Employees!$C$2:$C$17,MATCH(B24,Employees!$B$2:$B$17,0))</f>
        <v>Forklift Operator</v>
      </c>
      <c r="D24" s="18">
        <f>COUNTIFS(LaborLog!$H$2:$H$888,B24)</f>
        <v>58</v>
      </c>
      <c r="E24" s="27">
        <f>SUMIFS(LaborLog!$G$2:$G$888,LaborLog!$H$2:$H$888,B24)</f>
        <v>438.09999999999997</v>
      </c>
      <c r="F24" s="25">
        <f>IF(E24=0,0,SUMIFS(LaborLog!$F$2:$F$888,LaborLog!$H$2:$H$888,B24)/E24)</f>
        <v>40.910750970098157</v>
      </c>
    </row>
    <row r="25" spans="2:6" x14ac:dyDescent="0.25">
      <c r="B25" s="17" t="s">
        <v>762</v>
      </c>
      <c r="C25" s="17" t="str">
        <f>INDEX(Employees!$C$2:$C$17,MATCH(B25,Employees!$B$2:$B$17,0))</f>
        <v>Forklift Operator</v>
      </c>
      <c r="D25" s="18">
        <f>COUNTIFS(LaborLog!$H$2:$H$888,B25)</f>
        <v>56</v>
      </c>
      <c r="E25" s="27">
        <f>SUMIFS(LaborLog!$G$2:$G$888,LaborLog!$H$2:$H$888,B25)</f>
        <v>413.49999999999994</v>
      </c>
      <c r="F25" s="25">
        <f>IF(E25=0,0,SUMIFS(LaborLog!$F$2:$F$888,LaborLog!$H$2:$H$888,B25)/E25)</f>
        <v>40.268440145102787</v>
      </c>
    </row>
    <row r="26" spans="2:6" x14ac:dyDescent="0.25">
      <c r="B26" s="17" t="s">
        <v>764</v>
      </c>
      <c r="C26" s="17" t="str">
        <f>INDEX(Employees!$C$2:$C$17,MATCH(B26,Employees!$B$2:$B$17,0))</f>
        <v>Receiving Clerk</v>
      </c>
      <c r="D26" s="18">
        <f>COUNTIFS(LaborLog!$H$2:$H$888,B26)</f>
        <v>53</v>
      </c>
      <c r="E26" s="27">
        <f>SUMIFS(LaborLog!$G$2:$G$888,LaborLog!$H$2:$H$888,B26)</f>
        <v>405.9</v>
      </c>
      <c r="F26" s="25">
        <f>IF(E26=0,0,SUMIFS(LaborLog!$F$2:$F$888,LaborLog!$H$2:$H$888,B26)/E26)</f>
        <v>27.147080561714709</v>
      </c>
    </row>
    <row r="27" spans="2:6" x14ac:dyDescent="0.25">
      <c r="B27" s="17" t="s">
        <v>767</v>
      </c>
      <c r="C27" s="17" t="str">
        <f>INDEX(Employees!$C$2:$C$17,MATCH(B27,Employees!$B$2:$B$17,0))</f>
        <v>Receiving Clerk</v>
      </c>
      <c r="D27" s="18">
        <f>COUNTIFS(LaborLog!$H$2:$H$888,B27)</f>
        <v>58</v>
      </c>
      <c r="E27" s="27">
        <f>SUMIFS(LaborLog!$G$2:$G$888,LaborLog!$H$2:$H$888,B27)</f>
        <v>429</v>
      </c>
      <c r="F27" s="25">
        <f>IF(E27=0,0,SUMIFS(LaborLog!$F$2:$F$888,LaborLog!$H$2:$H$888,B27)/E27)</f>
        <v>25.214452214452216</v>
      </c>
    </row>
    <row r="28" spans="2:6" x14ac:dyDescent="0.25">
      <c r="B28" s="17" t="s">
        <v>769</v>
      </c>
      <c r="C28" s="17" t="str">
        <f>INDEX(Employees!$C$2:$C$17,MATCH(B28,Employees!$B$2:$B$17,0))</f>
        <v>Cycle Counter</v>
      </c>
      <c r="D28" s="18">
        <f>COUNTIFS(LaborLog!$H$2:$H$888,B28)</f>
        <v>54</v>
      </c>
      <c r="E28" s="27">
        <f>SUMIFS(LaborLog!$G$2:$G$888,LaborLog!$H$2:$H$888,B28)</f>
        <v>405.09999999999997</v>
      </c>
      <c r="F28" s="25">
        <f>IF(E28=0,0,SUMIFS(LaborLog!$F$2:$F$888,LaborLog!$H$2:$H$888,B28)/E28)</f>
        <v>23.626265119723527</v>
      </c>
    </row>
    <row r="29" spans="2:6" x14ac:dyDescent="0.25">
      <c r="B29" s="17" t="s">
        <v>772</v>
      </c>
      <c r="C29" s="17" t="str">
        <f>INDEX(Employees!$C$2:$C$17,MATCH(B29,Employees!$B$2:$B$17,0))</f>
        <v>Cycle Counter</v>
      </c>
      <c r="D29" s="18">
        <f>COUNTIFS(LaborLog!$H$2:$H$888,B29)</f>
        <v>54</v>
      </c>
      <c r="E29" s="27">
        <f>SUMIFS(LaborLog!$G$2:$G$888,LaborLog!$H$2:$H$888,B29)</f>
        <v>405.50000000000011</v>
      </c>
      <c r="F29" s="25">
        <f>IF(E29=0,0,SUMIFS(LaborLog!$F$2:$F$888,LaborLog!$H$2:$H$888,B29)/E29)</f>
        <v>26.118372379778044</v>
      </c>
    </row>
    <row r="30" spans="2:6" x14ac:dyDescent="0.25">
      <c r="B30" s="17" t="s">
        <v>774</v>
      </c>
      <c r="C30" s="17" t="str">
        <f>INDEX(Employees!$C$2:$C$17,MATCH(B30,Employees!$B$2:$B$17,0))</f>
        <v>Shift Supervisor</v>
      </c>
      <c r="D30" s="18">
        <f>COUNTIFS(LaborLog!$H$2:$H$888,B30)</f>
        <v>57</v>
      </c>
      <c r="E30" s="27">
        <f>SUMIFS(LaborLog!$G$2:$G$888,LaborLog!$H$2:$H$888,B30)</f>
        <v>423.00000000000006</v>
      </c>
      <c r="F30" s="25">
        <f>IF(E30=0,0,SUMIFS(LaborLog!$F$2:$F$888,LaborLog!$H$2:$H$888,B30)/E30)</f>
        <v>31.999999999999996</v>
      </c>
    </row>
    <row r="31" spans="2:6" x14ac:dyDescent="0.25">
      <c r="B31" s="17" t="s">
        <v>777</v>
      </c>
      <c r="C31" s="17" t="str">
        <f>INDEX(Employees!$C$2:$C$17,MATCH(B31,Employees!$B$2:$B$17,0))</f>
        <v>Shift Supervisor</v>
      </c>
      <c r="D31" s="18">
        <f>COUNTIFS(LaborLog!$H$2:$H$888,B31)</f>
        <v>55</v>
      </c>
      <c r="E31" s="27">
        <f>SUMIFS(LaborLog!$G$2:$G$888,LaborLog!$H$2:$H$888,B31)</f>
        <v>416.8</v>
      </c>
      <c r="F31" s="25">
        <f>IF(E31=0,0,SUMIFS(LaborLog!$F$2:$F$888,LaborLog!$H$2:$H$888,B31)/E31)</f>
        <v>41.297984644913626</v>
      </c>
    </row>
    <row r="32" spans="2:6" x14ac:dyDescent="0.25">
      <c r="B32" s="17" t="s">
        <v>779</v>
      </c>
      <c r="C32" s="17" t="str">
        <f>INDEX(Employees!$C$2:$C$17,MATCH(B32,Employees!$B$2:$B$17,0))</f>
        <v>Shift Supervisor</v>
      </c>
      <c r="D32" s="18">
        <f>COUNTIFS(LaborLog!$H$2:$H$888,B32)</f>
        <v>56</v>
      </c>
      <c r="E32" s="27">
        <f>SUMIFS(LaborLog!$G$2:$G$888,LaborLog!$H$2:$H$888,B32)</f>
        <v>417.90000000000003</v>
      </c>
      <c r="F32" s="25">
        <f>IF(E32=0,0,SUMIFS(LaborLog!$F$2:$F$888,LaborLog!$H$2:$H$888,B32)/E32)</f>
        <v>38.892079444843262</v>
      </c>
    </row>
    <row r="34" spans="2:4" x14ac:dyDescent="0.25">
      <c r="B34" s="10" t="s">
        <v>813</v>
      </c>
    </row>
    <row r="35" spans="2:4" x14ac:dyDescent="0.25">
      <c r="B35" s="16" t="s">
        <v>784</v>
      </c>
      <c r="C35" s="16" t="s">
        <v>814</v>
      </c>
    </row>
    <row r="36" spans="2:4" x14ac:dyDescent="0.25">
      <c r="B36" s="17" t="s">
        <v>796</v>
      </c>
      <c r="C36" s="17">
        <v>25</v>
      </c>
    </row>
    <row r="37" spans="2:4" x14ac:dyDescent="0.25">
      <c r="B37" s="17" t="s">
        <v>794</v>
      </c>
      <c r="C37" s="17">
        <v>45</v>
      </c>
    </row>
    <row r="38" spans="2:4" x14ac:dyDescent="0.25">
      <c r="B38" s="17" t="s">
        <v>792</v>
      </c>
      <c r="C38" s="17">
        <v>55</v>
      </c>
    </row>
    <row r="39" spans="2:4" x14ac:dyDescent="0.25">
      <c r="B39" s="17" t="s">
        <v>795</v>
      </c>
      <c r="C39" s="17">
        <v>30</v>
      </c>
    </row>
    <row r="40" spans="2:4" x14ac:dyDescent="0.25">
      <c r="B40" s="24"/>
    </row>
    <row r="42" spans="2:4" x14ac:dyDescent="0.25">
      <c r="B42" s="10" t="s">
        <v>815</v>
      </c>
    </row>
    <row r="43" spans="2:4" x14ac:dyDescent="0.25">
      <c r="B43" s="16" t="s">
        <v>723</v>
      </c>
      <c r="C43" s="16" t="s">
        <v>808</v>
      </c>
      <c r="D43" s="16" t="s">
        <v>806</v>
      </c>
    </row>
    <row r="44" spans="2:4" x14ac:dyDescent="0.25">
      <c r="B44" s="17" t="s">
        <v>725</v>
      </c>
      <c r="C44" s="18">
        <f>COUNTIFS(LaborLog!$L$2:$L$888,0)</f>
        <v>70</v>
      </c>
      <c r="D44" s="19">
        <f>IFERROR(AVERAGEIFS(LaborLog!$K$2:$K$888,LaborLog!$L$2:$L$888,0),0)</f>
        <v>0.97412802335299509</v>
      </c>
    </row>
    <row r="45" spans="2:4" x14ac:dyDescent="0.25">
      <c r="B45" s="17" t="s">
        <v>726</v>
      </c>
      <c r="C45" s="18">
        <f>COUNTIFS(LaborLog!$L$2:$L$888,1)</f>
        <v>69</v>
      </c>
      <c r="D45" s="19">
        <f>IFERROR(AVERAGEIFS(LaborLog!$K$2:$K$888,LaborLog!$L$2:$L$888,1),0)</f>
        <v>0.97816407693508023</v>
      </c>
    </row>
    <row r="46" spans="2:4" x14ac:dyDescent="0.25">
      <c r="B46" s="17" t="s">
        <v>727</v>
      </c>
      <c r="C46" s="18">
        <f>COUNTIFS(LaborLog!$L$2:$L$888,2)</f>
        <v>67</v>
      </c>
      <c r="D46" s="19">
        <f>IFERROR(AVERAGEIFS(LaborLog!$K$2:$K$888,LaborLog!$L$2:$L$888,2),0)</f>
        <v>0.99364687310937083</v>
      </c>
    </row>
    <row r="47" spans="2:4" x14ac:dyDescent="0.25">
      <c r="B47" s="17" t="s">
        <v>728</v>
      </c>
      <c r="C47" s="18">
        <f>COUNTIFS(LaborLog!$L$2:$L$888,3)</f>
        <v>68</v>
      </c>
      <c r="D47" s="19">
        <f>IFERROR(AVERAGEIFS(LaborLog!$K$2:$K$888,LaborLog!$L$2:$L$888,3),0)</f>
        <v>0.98865671918224596</v>
      </c>
    </row>
    <row r="48" spans="2:4" x14ac:dyDescent="0.25">
      <c r="B48" s="17" t="s">
        <v>729</v>
      </c>
      <c r="C48" s="18">
        <f>COUNTIFS(LaborLog!$L$2:$L$888,4)</f>
        <v>65</v>
      </c>
      <c r="D48" s="19">
        <f>IFERROR(AVERAGEIFS(LaborLog!$K$2:$K$888,LaborLog!$L$2:$L$888,4),0)</f>
        <v>0.98074406796193969</v>
      </c>
    </row>
    <row r="49" spans="2:4" x14ac:dyDescent="0.25">
      <c r="B49" s="17" t="s">
        <v>730</v>
      </c>
      <c r="C49" s="18">
        <f>COUNTIFS(LaborLog!$L$2:$L$888,5)</f>
        <v>70</v>
      </c>
      <c r="D49" s="19">
        <f>IFERROR(AVERAGEIFS(LaborLog!$K$2:$K$888,LaborLog!$L$2:$L$888,5),0)</f>
        <v>0.98166268968215931</v>
      </c>
    </row>
    <row r="50" spans="2:4" x14ac:dyDescent="0.25">
      <c r="B50" s="17" t="s">
        <v>731</v>
      </c>
      <c r="C50" s="18">
        <f>COUNTIFS(LaborLog!$L$2:$L$888,6)</f>
        <v>65</v>
      </c>
      <c r="D50" s="19">
        <f>IFERROR(AVERAGEIFS(LaborLog!$K$2:$K$888,LaborLog!$L$2:$L$888,6),0)</f>
        <v>0.97334017217041269</v>
      </c>
    </row>
    <row r="51" spans="2:4" x14ac:dyDescent="0.25">
      <c r="B51" s="17" t="s">
        <v>732</v>
      </c>
      <c r="C51" s="18">
        <f>COUNTIFS(LaborLog!$L$2:$L$888,7)</f>
        <v>71</v>
      </c>
      <c r="D51" s="19">
        <f>IFERROR(AVERAGEIFS(LaborLog!$K$2:$K$888,LaborLog!$L$2:$L$888,7),0)</f>
        <v>0.98481096360380005</v>
      </c>
    </row>
    <row r="52" spans="2:4" x14ac:dyDescent="0.25">
      <c r="B52" s="17" t="s">
        <v>733</v>
      </c>
      <c r="C52" s="18">
        <f>COUNTIFS(LaborLog!$L$2:$L$888,8)</f>
        <v>69</v>
      </c>
      <c r="D52" s="19">
        <f>IFERROR(AVERAGEIFS(LaborLog!$K$2:$K$888,LaborLog!$L$2:$L$888,8),0)</f>
        <v>0.97019562850420782</v>
      </c>
    </row>
    <row r="53" spans="2:4" x14ac:dyDescent="0.25">
      <c r="B53" s="17" t="s">
        <v>734</v>
      </c>
      <c r="C53" s="18">
        <f>COUNTIFS(LaborLog!$L$2:$L$888,9)</f>
        <v>67</v>
      </c>
      <c r="D53" s="19">
        <f>IFERROR(AVERAGEIFS(LaborLog!$K$2:$K$888,LaborLog!$L$2:$L$888,9),0)</f>
        <v>0.99193812793617631</v>
      </c>
    </row>
    <row r="54" spans="2:4" x14ac:dyDescent="0.25">
      <c r="B54" s="17" t="s">
        <v>735</v>
      </c>
      <c r="C54" s="18">
        <f>COUNTIFS(LaborLog!$L$2:$L$888,10)</f>
        <v>69</v>
      </c>
      <c r="D54" s="19">
        <f>IFERROR(AVERAGEIFS(LaborLog!$K$2:$K$888,LaborLog!$L$2:$L$888,10),0)</f>
        <v>0.95796381740348868</v>
      </c>
    </row>
    <row r="55" spans="2:4" x14ac:dyDescent="0.25">
      <c r="B55" s="17" t="s">
        <v>736</v>
      </c>
      <c r="C55" s="18">
        <f>COUNTIFS(LaborLog!$L$2:$L$888,11)</f>
        <v>68</v>
      </c>
      <c r="D55" s="19">
        <f>IFERROR(AVERAGEIFS(LaborLog!$K$2:$K$888,LaborLog!$L$2:$L$888,11),0)</f>
        <v>0.98423952780536106</v>
      </c>
    </row>
    <row r="56" spans="2:4" x14ac:dyDescent="0.25">
      <c r="B56" s="17" t="s">
        <v>737</v>
      </c>
      <c r="C56" s="18">
        <f>COUNTIFS(LaborLog!$L$2:$L$888,12)</f>
        <v>69</v>
      </c>
      <c r="D56" s="19">
        <f>IFERROR(AVERAGEIFS(LaborLog!$K$2:$K$888,LaborLog!$L$2:$L$888,12),0)</f>
        <v>0.98114958865921786</v>
      </c>
    </row>
  </sheetData>
  <hyperlinks>
    <hyperlink ref="H2" location="'Executive Summary'!A1" display="← Back to Executive Summary" xr:uid="{00000000-0004-0000-0B00-000000000000}"/>
  </hyperlink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98"/>
  <sheetViews>
    <sheetView zoomScaleNormal="100" workbookViewId="0">
      <pane ySplit="1" topLeftCell="A2" activePane="bottomLeft" state="frozen"/>
      <selection pane="bottomLeft" activeCell="K36" sqref="K36"/>
    </sheetView>
  </sheetViews>
  <sheetFormatPr baseColWidth="10" defaultColWidth="8.6640625" defaultRowHeight="19" x14ac:dyDescent="0.25"/>
  <cols>
    <col min="1" max="12" width="31.6640625" style="15" customWidth="1"/>
  </cols>
  <sheetData>
    <row r="1" spans="1:12" ht="18" x14ac:dyDescent="0.2">
      <c r="A1" s="16" t="s">
        <v>816</v>
      </c>
      <c r="B1" s="16" t="s">
        <v>817</v>
      </c>
      <c r="C1" s="16" t="s">
        <v>83</v>
      </c>
      <c r="D1" s="16" t="s">
        <v>818</v>
      </c>
      <c r="E1" s="16" t="s">
        <v>819</v>
      </c>
      <c r="F1" s="16" t="s">
        <v>820</v>
      </c>
      <c r="G1" s="16" t="s">
        <v>821</v>
      </c>
      <c r="H1" s="16" t="s">
        <v>822</v>
      </c>
      <c r="I1" s="16" t="s">
        <v>823</v>
      </c>
      <c r="J1" s="16" t="s">
        <v>824</v>
      </c>
      <c r="K1" s="16" t="s">
        <v>228</v>
      </c>
      <c r="L1" s="16" t="s">
        <v>825</v>
      </c>
    </row>
    <row r="2" spans="1:12" ht="18" x14ac:dyDescent="0.2">
      <c r="A2" s="17">
        <v>592</v>
      </c>
      <c r="B2" s="17" t="s">
        <v>826</v>
      </c>
      <c r="C2" s="17" t="s">
        <v>109</v>
      </c>
      <c r="D2" s="17">
        <v>5</v>
      </c>
      <c r="E2" s="17" t="s">
        <v>797</v>
      </c>
      <c r="F2" s="17" t="s">
        <v>827</v>
      </c>
      <c r="G2" s="17" t="s">
        <v>827</v>
      </c>
      <c r="H2" s="17" t="s">
        <v>828</v>
      </c>
      <c r="I2" s="17">
        <v>4</v>
      </c>
      <c r="J2" s="18">
        <f t="shared" ref="J2:J65" si="0">IF(H2="Shipped",IF(G2&gt;F2,1,0),"")</f>
        <v>0</v>
      </c>
      <c r="K2" s="18">
        <f t="shared" ref="K2:K65" si="1">INT((DATEVALUE(E2)-DATE(2026,4,6))/7)</f>
        <v>0</v>
      </c>
      <c r="L2" s="20">
        <f>IF(H2="Shipped",'Capacity &amp; Cost Dashboard'!D27+'Capacity &amp; Cost Dashboard'!D28*D2*INDEX('Capacity &amp; Cost Dashboard'!$C$31:$C$38,MATCH(INDEX(Products!$C$2:$C$31,MATCH(C2,Products!$A$2:$A$31,0)),'Capacity &amp; Cost Dashboard'!$B$31:$B$38,0)),0)</f>
        <v>19.25</v>
      </c>
    </row>
    <row r="3" spans="1:12" ht="18" x14ac:dyDescent="0.2">
      <c r="A3" s="17">
        <v>593</v>
      </c>
      <c r="B3" s="17" t="s">
        <v>826</v>
      </c>
      <c r="C3" s="17" t="s">
        <v>132</v>
      </c>
      <c r="D3" s="17">
        <v>18</v>
      </c>
      <c r="E3" s="17" t="s">
        <v>171</v>
      </c>
      <c r="F3" s="17" t="s">
        <v>827</v>
      </c>
      <c r="G3" s="17" t="s">
        <v>800</v>
      </c>
      <c r="H3" s="17" t="s">
        <v>828</v>
      </c>
      <c r="I3" s="17">
        <v>5</v>
      </c>
      <c r="J3" s="18">
        <f t="shared" si="0"/>
        <v>0</v>
      </c>
      <c r="K3" s="18">
        <f t="shared" si="1"/>
        <v>0</v>
      </c>
      <c r="L3" s="20">
        <f>IF(H3="Shipped",'Capacity &amp; Cost Dashboard'!D27+'Capacity &amp; Cost Dashboard'!D28*D3*INDEX('Capacity &amp; Cost Dashboard'!$C$31:$C$38,MATCH(INDEX(Products!$C$2:$C$31,MATCH(C3,Products!$A$2:$A$31,0)),'Capacity &amp; Cost Dashboard'!$B$31:$B$38,0)),0)</f>
        <v>24.2</v>
      </c>
    </row>
    <row r="4" spans="1:12" ht="18" x14ac:dyDescent="0.2">
      <c r="A4" s="17">
        <v>594</v>
      </c>
      <c r="B4" s="17" t="s">
        <v>829</v>
      </c>
      <c r="C4" s="17" t="s">
        <v>109</v>
      </c>
      <c r="D4" s="17">
        <v>3</v>
      </c>
      <c r="E4" s="17" t="s">
        <v>799</v>
      </c>
      <c r="F4" s="17" t="s">
        <v>173</v>
      </c>
      <c r="G4" s="17" t="s">
        <v>243</v>
      </c>
      <c r="H4" s="17" t="s">
        <v>828</v>
      </c>
      <c r="I4" s="17">
        <v>4</v>
      </c>
      <c r="J4" s="18">
        <f t="shared" si="0"/>
        <v>1</v>
      </c>
      <c r="K4" s="18">
        <f t="shared" si="1"/>
        <v>0</v>
      </c>
      <c r="L4" s="20">
        <f>IF(H4="Shipped",'Capacity &amp; Cost Dashboard'!D27+'Capacity &amp; Cost Dashboard'!D28*D4*INDEX('Capacity &amp; Cost Dashboard'!$C$31:$C$38,MATCH(INDEX(Products!$C$2:$C$31,MATCH(C4,Products!$A$2:$A$31,0)),'Capacity &amp; Cost Dashboard'!$B$31:$B$38,0)),0)</f>
        <v>14.75</v>
      </c>
    </row>
    <row r="5" spans="1:12" ht="18" x14ac:dyDescent="0.2">
      <c r="A5" s="17">
        <v>595</v>
      </c>
      <c r="B5" s="17" t="s">
        <v>830</v>
      </c>
      <c r="C5" s="17" t="s">
        <v>100</v>
      </c>
      <c r="D5" s="17">
        <v>6</v>
      </c>
      <c r="E5" s="17" t="s">
        <v>799</v>
      </c>
      <c r="F5" s="17" t="s">
        <v>801</v>
      </c>
      <c r="G5" s="17" t="s">
        <v>173</v>
      </c>
      <c r="H5" s="17" t="s">
        <v>828</v>
      </c>
      <c r="I5" s="17">
        <v>5</v>
      </c>
      <c r="J5" s="18">
        <f t="shared" si="0"/>
        <v>0</v>
      </c>
      <c r="K5" s="18">
        <f t="shared" si="1"/>
        <v>0</v>
      </c>
      <c r="L5" s="20" t="e">
        <f>IF(H5="Shipped",'Capacity &amp; Cost Dashboard'!D27+'Capacity &amp; Cost Dashboard'!D28*D5*INDEX('Capacity &amp; Cost Dashboard'!$C$31:$C$38,MATCH(INDEX(Products!$C$2:$C$31,MATCH(C5,Products!$A$2:$A$31,0)),'Capacity &amp; Cost Dashboard'!$B$31:$B$38,0)),0)</f>
        <v>#N/A</v>
      </c>
    </row>
    <row r="6" spans="1:12" ht="18" x14ac:dyDescent="0.2">
      <c r="A6" s="17">
        <v>596</v>
      </c>
      <c r="B6" s="17" t="s">
        <v>831</v>
      </c>
      <c r="C6" s="17" t="s">
        <v>109</v>
      </c>
      <c r="D6" s="17">
        <v>3</v>
      </c>
      <c r="E6" s="17" t="s">
        <v>800</v>
      </c>
      <c r="F6" s="17" t="s">
        <v>173</v>
      </c>
      <c r="G6" s="17" t="s">
        <v>173</v>
      </c>
      <c r="H6" s="17" t="s">
        <v>828</v>
      </c>
      <c r="I6" s="17">
        <v>5</v>
      </c>
      <c r="J6" s="18">
        <f t="shared" si="0"/>
        <v>0</v>
      </c>
      <c r="K6" s="18">
        <f t="shared" si="1"/>
        <v>0</v>
      </c>
      <c r="L6" s="20">
        <f>IF(H6="Shipped",'Capacity &amp; Cost Dashboard'!D27+'Capacity &amp; Cost Dashboard'!D28*D6*INDEX('Capacity &amp; Cost Dashboard'!$C$31:$C$38,MATCH(INDEX(Products!$C$2:$C$31,MATCH(C6,Products!$A$2:$A$31,0)),'Capacity &amp; Cost Dashboard'!$B$31:$B$38,0)),0)</f>
        <v>14.75</v>
      </c>
    </row>
    <row r="7" spans="1:12" ht="18" x14ac:dyDescent="0.2">
      <c r="A7" s="17">
        <v>597</v>
      </c>
      <c r="B7" s="17" t="s">
        <v>832</v>
      </c>
      <c r="C7" s="17" t="s">
        <v>120</v>
      </c>
      <c r="D7" s="17">
        <v>5</v>
      </c>
      <c r="E7" s="17" t="s">
        <v>797</v>
      </c>
      <c r="F7" s="17" t="s">
        <v>827</v>
      </c>
      <c r="G7" s="17" t="s">
        <v>800</v>
      </c>
      <c r="H7" s="17" t="s">
        <v>828</v>
      </c>
      <c r="I7" s="17">
        <v>5</v>
      </c>
      <c r="J7" s="18">
        <f t="shared" si="0"/>
        <v>0</v>
      </c>
      <c r="K7" s="18">
        <f t="shared" si="1"/>
        <v>0</v>
      </c>
      <c r="L7" s="20">
        <f>IF(H7="Shipped",'Capacity &amp; Cost Dashboard'!D27+'Capacity &amp; Cost Dashboard'!D28*D7*INDEX('Capacity &amp; Cost Dashboard'!$C$31:$C$38,MATCH(INDEX(Products!$C$2:$C$31,MATCH(C7,Products!$A$2:$A$31,0)),'Capacity &amp; Cost Dashboard'!$B$31:$B$38,0)),0)</f>
        <v>10.25</v>
      </c>
    </row>
    <row r="8" spans="1:12" ht="18" x14ac:dyDescent="0.2">
      <c r="A8" s="17">
        <v>598</v>
      </c>
      <c r="B8" s="17" t="s">
        <v>833</v>
      </c>
      <c r="C8" s="17" t="s">
        <v>132</v>
      </c>
      <c r="D8" s="17">
        <v>6</v>
      </c>
      <c r="E8" s="17" t="s">
        <v>171</v>
      </c>
      <c r="F8" s="17" t="s">
        <v>799</v>
      </c>
      <c r="G8" s="17" t="s">
        <v>173</v>
      </c>
      <c r="H8" s="17" t="s">
        <v>828</v>
      </c>
      <c r="I8" s="17">
        <v>3</v>
      </c>
      <c r="J8" s="18">
        <f t="shared" si="0"/>
        <v>1</v>
      </c>
      <c r="K8" s="18">
        <f t="shared" si="1"/>
        <v>0</v>
      </c>
      <c r="L8" s="20">
        <f>IF(H8="Shipped",'Capacity &amp; Cost Dashboard'!D27+'Capacity &amp; Cost Dashboard'!D28*D8*INDEX('Capacity &amp; Cost Dashboard'!$C$31:$C$38,MATCH(INDEX(Products!$C$2:$C$31,MATCH(C8,Products!$A$2:$A$31,0)),'Capacity &amp; Cost Dashboard'!$B$31:$B$38,0)),0)</f>
        <v>13.4</v>
      </c>
    </row>
    <row r="9" spans="1:12" ht="18" x14ac:dyDescent="0.2">
      <c r="A9" s="17">
        <v>599</v>
      </c>
      <c r="B9" s="17" t="s">
        <v>831</v>
      </c>
      <c r="C9" s="17" t="s">
        <v>100</v>
      </c>
      <c r="D9" s="17">
        <v>28</v>
      </c>
      <c r="E9" s="17" t="s">
        <v>171</v>
      </c>
      <c r="F9" s="17" t="s">
        <v>800</v>
      </c>
      <c r="G9" s="17" t="s">
        <v>800</v>
      </c>
      <c r="H9" s="17" t="s">
        <v>828</v>
      </c>
      <c r="I9" s="17">
        <v>5</v>
      </c>
      <c r="J9" s="18">
        <f t="shared" si="0"/>
        <v>0</v>
      </c>
      <c r="K9" s="18">
        <f t="shared" si="1"/>
        <v>0</v>
      </c>
      <c r="L9" s="20" t="e">
        <f>IF(H9="Shipped",'Capacity &amp; Cost Dashboard'!D27+'Capacity &amp; Cost Dashboard'!D28*D9*INDEX('Capacity &amp; Cost Dashboard'!$C$31:$C$38,MATCH(INDEX(Products!$C$2:$C$31,MATCH(C9,Products!$A$2:$A$31,0)),'Capacity &amp; Cost Dashboard'!$B$31:$B$38,0)),0)</f>
        <v>#N/A</v>
      </c>
    </row>
    <row r="10" spans="1:12" ht="18" x14ac:dyDescent="0.2">
      <c r="A10" s="17">
        <v>600</v>
      </c>
      <c r="B10" s="17" t="s">
        <v>834</v>
      </c>
      <c r="C10" s="17" t="s">
        <v>132</v>
      </c>
      <c r="D10" s="17">
        <v>13</v>
      </c>
      <c r="E10" s="17" t="s">
        <v>797</v>
      </c>
      <c r="F10" s="17" t="s">
        <v>800</v>
      </c>
      <c r="G10" s="17" t="s">
        <v>799</v>
      </c>
      <c r="H10" s="17" t="s">
        <v>828</v>
      </c>
      <c r="I10" s="17">
        <v>4</v>
      </c>
      <c r="J10" s="18">
        <f t="shared" si="0"/>
        <v>0</v>
      </c>
      <c r="K10" s="18">
        <f t="shared" si="1"/>
        <v>0</v>
      </c>
      <c r="L10" s="20">
        <f>IF(H10="Shipped",'Capacity &amp; Cost Dashboard'!D27+'Capacity &amp; Cost Dashboard'!D28*D10*INDEX('Capacity &amp; Cost Dashboard'!$C$31:$C$38,MATCH(INDEX(Products!$C$2:$C$31,MATCH(C10,Products!$A$2:$A$31,0)),'Capacity &amp; Cost Dashboard'!$B$31:$B$38,0)),0)</f>
        <v>19.700000000000003</v>
      </c>
    </row>
    <row r="11" spans="1:12" ht="18" x14ac:dyDescent="0.2">
      <c r="A11" s="17">
        <v>601</v>
      </c>
      <c r="B11" s="17" t="s">
        <v>826</v>
      </c>
      <c r="C11" s="17" t="s">
        <v>154</v>
      </c>
      <c r="D11" s="17">
        <v>2</v>
      </c>
      <c r="E11" s="17" t="s">
        <v>798</v>
      </c>
      <c r="F11" s="17" t="s">
        <v>173</v>
      </c>
      <c r="G11" s="17" t="s">
        <v>173</v>
      </c>
      <c r="H11" s="17" t="s">
        <v>828</v>
      </c>
      <c r="I11" s="17">
        <v>5</v>
      </c>
      <c r="J11" s="18">
        <f t="shared" si="0"/>
        <v>0</v>
      </c>
      <c r="K11" s="18">
        <f t="shared" si="1"/>
        <v>0</v>
      </c>
      <c r="L11" s="20">
        <f>IF(H11="Shipped",'Capacity &amp; Cost Dashboard'!D27+'Capacity &amp; Cost Dashboard'!D28*D11*INDEX('Capacity &amp; Cost Dashboard'!$C$31:$C$38,MATCH(INDEX(Products!$C$2:$C$31,MATCH(C11,Products!$A$2:$A$31,0)),'Capacity &amp; Cost Dashboard'!$B$31:$B$38,0)),0)</f>
        <v>9.35</v>
      </c>
    </row>
    <row r="12" spans="1:12" ht="18" x14ac:dyDescent="0.2">
      <c r="A12" s="17">
        <v>602</v>
      </c>
      <c r="B12" s="17" t="s">
        <v>835</v>
      </c>
      <c r="C12" s="17" t="s">
        <v>139</v>
      </c>
      <c r="D12" s="17">
        <v>5</v>
      </c>
      <c r="E12" s="17" t="s">
        <v>800</v>
      </c>
      <c r="F12" s="17" t="s">
        <v>243</v>
      </c>
      <c r="G12" s="17" t="s">
        <v>242</v>
      </c>
      <c r="H12" s="17" t="s">
        <v>828</v>
      </c>
      <c r="I12" s="17">
        <v>2</v>
      </c>
      <c r="J12" s="18">
        <f t="shared" si="0"/>
        <v>1</v>
      </c>
      <c r="K12" s="18">
        <f t="shared" si="1"/>
        <v>0</v>
      </c>
      <c r="L12" s="20">
        <f>IF(H12="Shipped",'Capacity &amp; Cost Dashboard'!D27+'Capacity &amp; Cost Dashboard'!D28*D12*INDEX('Capacity &amp; Cost Dashboard'!$C$31:$C$38,MATCH(INDEX(Products!$C$2:$C$31,MATCH(C12,Products!$A$2:$A$31,0)),'Capacity &amp; Cost Dashboard'!$B$31:$B$38,0)),0)</f>
        <v>8.6750000000000007</v>
      </c>
    </row>
    <row r="13" spans="1:12" ht="18" x14ac:dyDescent="0.2">
      <c r="A13" s="17">
        <v>603</v>
      </c>
      <c r="B13" s="17" t="s">
        <v>833</v>
      </c>
      <c r="C13" s="17" t="s">
        <v>107</v>
      </c>
      <c r="D13" s="17">
        <v>7</v>
      </c>
      <c r="E13" s="17" t="s">
        <v>797</v>
      </c>
      <c r="F13" s="17" t="s">
        <v>827</v>
      </c>
      <c r="G13" s="17" t="s">
        <v>800</v>
      </c>
      <c r="H13" s="17" t="s">
        <v>828</v>
      </c>
      <c r="I13" s="17">
        <v>5</v>
      </c>
      <c r="J13" s="18">
        <f t="shared" si="0"/>
        <v>0</v>
      </c>
      <c r="K13" s="18">
        <f t="shared" si="1"/>
        <v>0</v>
      </c>
      <c r="L13" s="20">
        <f>IF(H13="Shipped",'Capacity &amp; Cost Dashboard'!D27+'Capacity &amp; Cost Dashboard'!D28*D13*INDEX('Capacity &amp; Cost Dashboard'!$C$31:$C$38,MATCH(INDEX(Products!$C$2:$C$31,MATCH(C13,Products!$A$2:$A$31,0)),'Capacity &amp; Cost Dashboard'!$B$31:$B$38,0)),0)</f>
        <v>23.75</v>
      </c>
    </row>
    <row r="14" spans="1:12" ht="18" x14ac:dyDescent="0.2">
      <c r="A14" s="17">
        <v>604</v>
      </c>
      <c r="B14" s="17" t="s">
        <v>836</v>
      </c>
      <c r="C14" s="17" t="s">
        <v>111</v>
      </c>
      <c r="D14" s="17">
        <v>17</v>
      </c>
      <c r="E14" s="17" t="s">
        <v>171</v>
      </c>
      <c r="F14" s="17" t="s">
        <v>827</v>
      </c>
      <c r="G14" s="17" t="s">
        <v>827</v>
      </c>
      <c r="H14" s="17" t="s">
        <v>828</v>
      </c>
      <c r="I14" s="17">
        <v>5</v>
      </c>
      <c r="J14" s="18">
        <f t="shared" si="0"/>
        <v>0</v>
      </c>
      <c r="K14" s="18">
        <f t="shared" si="1"/>
        <v>0</v>
      </c>
      <c r="L14" s="20">
        <f>IF(H14="Shipped",'Capacity &amp; Cost Dashboard'!D27+'Capacity &amp; Cost Dashboard'!D28*D14*INDEX('Capacity &amp; Cost Dashboard'!$C$31:$C$38,MATCH(INDEX(Products!$C$2:$C$31,MATCH(C14,Products!$A$2:$A$31,0)),'Capacity &amp; Cost Dashboard'!$B$31:$B$38,0)),0)</f>
        <v>46.25</v>
      </c>
    </row>
    <row r="15" spans="1:12" ht="18" x14ac:dyDescent="0.2">
      <c r="A15" s="17">
        <v>605</v>
      </c>
      <c r="B15" s="17" t="s">
        <v>837</v>
      </c>
      <c r="C15" s="17" t="s">
        <v>136</v>
      </c>
      <c r="D15" s="17">
        <v>4</v>
      </c>
      <c r="E15" s="17" t="s">
        <v>798</v>
      </c>
      <c r="F15" s="17" t="s">
        <v>246</v>
      </c>
      <c r="G15" s="17" t="s">
        <v>827</v>
      </c>
      <c r="H15" s="17" t="s">
        <v>828</v>
      </c>
      <c r="I15" s="17">
        <v>5</v>
      </c>
      <c r="J15" s="18">
        <f t="shared" si="0"/>
        <v>0</v>
      </c>
      <c r="K15" s="18">
        <f t="shared" si="1"/>
        <v>0</v>
      </c>
      <c r="L15" s="20">
        <f>IF(H15="Shipped",'Capacity &amp; Cost Dashboard'!D27+'Capacity &amp; Cost Dashboard'!D28*D15*INDEX('Capacity &amp; Cost Dashboard'!$C$31:$C$38,MATCH(INDEX(Products!$C$2:$C$31,MATCH(C15,Products!$A$2:$A$31,0)),'Capacity &amp; Cost Dashboard'!$B$31:$B$38,0)),0)</f>
        <v>8.5399999999999991</v>
      </c>
    </row>
    <row r="16" spans="1:12" ht="18" x14ac:dyDescent="0.2">
      <c r="A16" s="17">
        <v>606</v>
      </c>
      <c r="B16" s="17" t="s">
        <v>826</v>
      </c>
      <c r="C16" s="17" t="s">
        <v>123</v>
      </c>
      <c r="D16" s="17">
        <v>7</v>
      </c>
      <c r="E16" s="17" t="s">
        <v>798</v>
      </c>
      <c r="F16" s="17" t="s">
        <v>173</v>
      </c>
      <c r="G16" s="17" t="s">
        <v>801</v>
      </c>
      <c r="H16" s="17" t="s">
        <v>828</v>
      </c>
      <c r="I16" s="17">
        <v>4</v>
      </c>
      <c r="J16" s="18">
        <f t="shared" si="0"/>
        <v>1</v>
      </c>
      <c r="K16" s="18">
        <f t="shared" si="1"/>
        <v>0</v>
      </c>
      <c r="L16" s="20">
        <f>IF(H16="Shipped",'Capacity &amp; Cost Dashboard'!D27+'Capacity &amp; Cost Dashboard'!D28*D16*INDEX('Capacity &amp; Cost Dashboard'!$C$31:$C$38,MATCH(INDEX(Products!$C$2:$C$31,MATCH(C16,Products!$A$2:$A$31,0)),'Capacity &amp; Cost Dashboard'!$B$31:$B$38,0)),0)</f>
        <v>11.15</v>
      </c>
    </row>
    <row r="17" spans="1:12" ht="18" x14ac:dyDescent="0.2">
      <c r="A17" s="17">
        <v>607</v>
      </c>
      <c r="B17" s="17" t="s">
        <v>838</v>
      </c>
      <c r="C17" s="17" t="s">
        <v>156</v>
      </c>
      <c r="D17" s="17">
        <v>7</v>
      </c>
      <c r="E17" s="17" t="s">
        <v>799</v>
      </c>
      <c r="F17" s="17" t="s">
        <v>173</v>
      </c>
      <c r="G17" s="17" t="s">
        <v>173</v>
      </c>
      <c r="H17" s="17" t="s">
        <v>828</v>
      </c>
      <c r="I17" s="17">
        <v>5</v>
      </c>
      <c r="J17" s="18">
        <f t="shared" si="0"/>
        <v>0</v>
      </c>
      <c r="K17" s="18">
        <f t="shared" si="1"/>
        <v>0</v>
      </c>
      <c r="L17" s="20">
        <f>IF(H17="Shipped",'Capacity &amp; Cost Dashboard'!D27+'Capacity &amp; Cost Dashboard'!D28*D17*INDEX('Capacity &amp; Cost Dashboard'!$C$31:$C$38,MATCH(INDEX(Products!$C$2:$C$31,MATCH(C17,Products!$A$2:$A$31,0)),'Capacity &amp; Cost Dashboard'!$B$31:$B$38,0)),0)</f>
        <v>17.45</v>
      </c>
    </row>
    <row r="18" spans="1:12" ht="18" x14ac:dyDescent="0.2">
      <c r="A18" s="17">
        <v>608</v>
      </c>
      <c r="B18" s="17" t="s">
        <v>839</v>
      </c>
      <c r="C18" s="17" t="s">
        <v>102</v>
      </c>
      <c r="D18" s="17">
        <v>11</v>
      </c>
      <c r="E18" s="17" t="s">
        <v>797</v>
      </c>
      <c r="F18" s="17" t="s">
        <v>827</v>
      </c>
      <c r="G18" s="17" t="s">
        <v>800</v>
      </c>
      <c r="H18" s="17" t="s">
        <v>828</v>
      </c>
      <c r="I18" s="17">
        <v>5</v>
      </c>
      <c r="J18" s="18">
        <f t="shared" si="0"/>
        <v>0</v>
      </c>
      <c r="K18" s="18">
        <f t="shared" si="1"/>
        <v>0</v>
      </c>
      <c r="L18" s="20" t="e">
        <f>IF(H18="Shipped",'Capacity &amp; Cost Dashboard'!D27+'Capacity &amp; Cost Dashboard'!D28*D18*INDEX('Capacity &amp; Cost Dashboard'!$C$31:$C$38,MATCH(INDEX(Products!$C$2:$C$31,MATCH(C18,Products!$A$2:$A$31,0)),'Capacity &amp; Cost Dashboard'!$B$31:$B$38,0)),0)</f>
        <v>#N/A</v>
      </c>
    </row>
    <row r="19" spans="1:12" ht="18" x14ac:dyDescent="0.2">
      <c r="A19" s="17">
        <v>609</v>
      </c>
      <c r="B19" s="17" t="s">
        <v>840</v>
      </c>
      <c r="C19" s="17" t="s">
        <v>159</v>
      </c>
      <c r="D19" s="17">
        <v>4</v>
      </c>
      <c r="E19" s="17" t="s">
        <v>799</v>
      </c>
      <c r="F19" s="17" t="s">
        <v>801</v>
      </c>
      <c r="G19" s="17" t="s">
        <v>233</v>
      </c>
      <c r="H19" s="17" t="s">
        <v>828</v>
      </c>
      <c r="I19" s="17">
        <v>4</v>
      </c>
      <c r="J19" s="18">
        <f t="shared" si="0"/>
        <v>1</v>
      </c>
      <c r="K19" s="18">
        <f t="shared" si="1"/>
        <v>0</v>
      </c>
      <c r="L19" s="20">
        <f>IF(H19="Shipped",'Capacity &amp; Cost Dashboard'!D27+'Capacity &amp; Cost Dashboard'!D28*D19*INDEX('Capacity &amp; Cost Dashboard'!$C$31:$C$38,MATCH(INDEX(Products!$C$2:$C$31,MATCH(C19,Products!$A$2:$A$31,0)),'Capacity &amp; Cost Dashboard'!$B$31:$B$38,0)),0)</f>
        <v>13.4</v>
      </c>
    </row>
    <row r="20" spans="1:12" ht="18" x14ac:dyDescent="0.2">
      <c r="A20" s="17">
        <v>610</v>
      </c>
      <c r="B20" s="17" t="s">
        <v>841</v>
      </c>
      <c r="C20" s="17" t="s">
        <v>118</v>
      </c>
      <c r="D20" s="17">
        <v>13</v>
      </c>
      <c r="E20" s="17" t="s">
        <v>799</v>
      </c>
      <c r="F20" s="17" t="s">
        <v>801</v>
      </c>
      <c r="G20" s="17" t="s">
        <v>233</v>
      </c>
      <c r="H20" s="17" t="s">
        <v>828</v>
      </c>
      <c r="I20" s="17">
        <v>3</v>
      </c>
      <c r="J20" s="18">
        <f t="shared" si="0"/>
        <v>1</v>
      </c>
      <c r="K20" s="18">
        <f t="shared" si="1"/>
        <v>0</v>
      </c>
      <c r="L20" s="20">
        <f>IF(H20="Shipped",'Capacity &amp; Cost Dashboard'!D27+'Capacity &amp; Cost Dashboard'!D28*D20*INDEX('Capacity &amp; Cost Dashboard'!$C$31:$C$38,MATCH(INDEX(Products!$C$2:$C$31,MATCH(C20,Products!$A$2:$A$31,0)),'Capacity &amp; Cost Dashboard'!$B$31:$B$38,0)),0)</f>
        <v>19.700000000000003</v>
      </c>
    </row>
    <row r="21" spans="1:12" ht="18" x14ac:dyDescent="0.2">
      <c r="A21" s="17">
        <v>611</v>
      </c>
      <c r="B21" s="17" t="s">
        <v>839</v>
      </c>
      <c r="C21" s="17" t="s">
        <v>125</v>
      </c>
      <c r="D21" s="17">
        <v>6</v>
      </c>
      <c r="E21" s="17" t="s">
        <v>798</v>
      </c>
      <c r="F21" s="17" t="s">
        <v>173</v>
      </c>
      <c r="G21" s="17" t="s">
        <v>246</v>
      </c>
      <c r="H21" s="17" t="s">
        <v>828</v>
      </c>
      <c r="I21" s="17">
        <v>4</v>
      </c>
      <c r="J21" s="18">
        <f t="shared" si="0"/>
        <v>0</v>
      </c>
      <c r="K21" s="18">
        <f t="shared" si="1"/>
        <v>0</v>
      </c>
      <c r="L21" s="20">
        <f>IF(H21="Shipped",'Capacity &amp; Cost Dashboard'!D27+'Capacity &amp; Cost Dashboard'!D28*D21*INDEX('Capacity &amp; Cost Dashboard'!$C$31:$C$38,MATCH(INDEX(Products!$C$2:$C$31,MATCH(C21,Products!$A$2:$A$31,0)),'Capacity &amp; Cost Dashboard'!$B$31:$B$38,0)),0)</f>
        <v>10.7</v>
      </c>
    </row>
    <row r="22" spans="1:12" ht="18" x14ac:dyDescent="0.2">
      <c r="A22" s="17">
        <v>612</v>
      </c>
      <c r="B22" s="17" t="s">
        <v>830</v>
      </c>
      <c r="C22" s="17" t="s">
        <v>159</v>
      </c>
      <c r="D22" s="17">
        <v>2</v>
      </c>
      <c r="E22" s="17" t="s">
        <v>798</v>
      </c>
      <c r="F22" s="17" t="s">
        <v>827</v>
      </c>
      <c r="G22" s="17" t="s">
        <v>800</v>
      </c>
      <c r="H22" s="17" t="s">
        <v>828</v>
      </c>
      <c r="I22" s="17">
        <v>5</v>
      </c>
      <c r="J22" s="18">
        <f t="shared" si="0"/>
        <v>0</v>
      </c>
      <c r="K22" s="18">
        <f t="shared" si="1"/>
        <v>0</v>
      </c>
      <c r="L22" s="20">
        <f>IF(H22="Shipped",'Capacity &amp; Cost Dashboard'!D27+'Capacity &amp; Cost Dashboard'!D28*D22*INDEX('Capacity &amp; Cost Dashboard'!$C$31:$C$38,MATCH(INDEX(Products!$C$2:$C$31,MATCH(C22,Products!$A$2:$A$31,0)),'Capacity &amp; Cost Dashboard'!$B$31:$B$38,0)),0)</f>
        <v>10.7</v>
      </c>
    </row>
    <row r="23" spans="1:12" ht="18" x14ac:dyDescent="0.2">
      <c r="A23" s="17">
        <v>613</v>
      </c>
      <c r="B23" s="17" t="s">
        <v>842</v>
      </c>
      <c r="C23" s="17" t="s">
        <v>159</v>
      </c>
      <c r="D23" s="17">
        <v>6</v>
      </c>
      <c r="E23" s="17" t="s">
        <v>797</v>
      </c>
      <c r="F23" s="17" t="s">
        <v>246</v>
      </c>
      <c r="G23" s="17" t="s">
        <v>246</v>
      </c>
      <c r="H23" s="17" t="s">
        <v>828</v>
      </c>
      <c r="I23" s="17">
        <v>5</v>
      </c>
      <c r="J23" s="18">
        <f t="shared" si="0"/>
        <v>0</v>
      </c>
      <c r="K23" s="18">
        <f t="shared" si="1"/>
        <v>0</v>
      </c>
      <c r="L23" s="20">
        <f>IF(H23="Shipped",'Capacity &amp; Cost Dashboard'!D27+'Capacity &amp; Cost Dashboard'!D28*D23*INDEX('Capacity &amp; Cost Dashboard'!$C$31:$C$38,MATCH(INDEX(Products!$C$2:$C$31,MATCH(C23,Products!$A$2:$A$31,0)),'Capacity &amp; Cost Dashboard'!$B$31:$B$38,0)),0)</f>
        <v>16.100000000000001</v>
      </c>
    </row>
    <row r="24" spans="1:12" ht="18" x14ac:dyDescent="0.2">
      <c r="A24" s="17">
        <v>614</v>
      </c>
      <c r="B24" s="17" t="s">
        <v>841</v>
      </c>
      <c r="C24" s="17" t="s">
        <v>120</v>
      </c>
      <c r="D24" s="17">
        <v>13</v>
      </c>
      <c r="E24" s="17" t="s">
        <v>171</v>
      </c>
      <c r="F24" s="17" t="s">
        <v>799</v>
      </c>
      <c r="G24" s="17" t="s">
        <v>799</v>
      </c>
      <c r="H24" s="17" t="s">
        <v>828</v>
      </c>
      <c r="I24" s="17">
        <v>4</v>
      </c>
      <c r="J24" s="18">
        <f t="shared" si="0"/>
        <v>0</v>
      </c>
      <c r="K24" s="18">
        <f t="shared" si="1"/>
        <v>0</v>
      </c>
      <c r="L24" s="20">
        <f>IF(H24="Shipped",'Capacity &amp; Cost Dashboard'!D27+'Capacity &amp; Cost Dashboard'!D28*D24*INDEX('Capacity &amp; Cost Dashboard'!$C$31:$C$38,MATCH(INDEX(Products!$C$2:$C$31,MATCH(C24,Products!$A$2:$A$31,0)),'Capacity &amp; Cost Dashboard'!$B$31:$B$38,0)),0)</f>
        <v>13.850000000000001</v>
      </c>
    </row>
    <row r="25" spans="1:12" ht="18" x14ac:dyDescent="0.2">
      <c r="A25" s="17">
        <v>615</v>
      </c>
      <c r="B25" s="17" t="s">
        <v>839</v>
      </c>
      <c r="C25" s="17" t="s">
        <v>143</v>
      </c>
      <c r="D25" s="17">
        <v>11</v>
      </c>
      <c r="E25" s="17" t="s">
        <v>800</v>
      </c>
      <c r="F25" s="17" t="s">
        <v>243</v>
      </c>
      <c r="G25" s="17" t="s">
        <v>801</v>
      </c>
      <c r="H25" s="17" t="s">
        <v>828</v>
      </c>
      <c r="I25" s="17">
        <v>5</v>
      </c>
      <c r="J25" s="18">
        <f t="shared" si="0"/>
        <v>0</v>
      </c>
      <c r="K25" s="18">
        <f t="shared" si="1"/>
        <v>0</v>
      </c>
      <c r="L25" s="20">
        <f>IF(H25="Shipped",'Capacity &amp; Cost Dashboard'!D27+'Capacity &amp; Cost Dashboard'!D28*D25*INDEX('Capacity &amp; Cost Dashboard'!$C$31:$C$38,MATCH(INDEX(Products!$C$2:$C$31,MATCH(C25,Products!$A$2:$A$31,0)),'Capacity &amp; Cost Dashboard'!$B$31:$B$38,0)),0)</f>
        <v>9.4849999999999994</v>
      </c>
    </row>
    <row r="26" spans="1:12" ht="18" x14ac:dyDescent="0.2">
      <c r="A26" s="17">
        <v>616</v>
      </c>
      <c r="B26" s="17" t="s">
        <v>838</v>
      </c>
      <c r="C26" s="17" t="s">
        <v>125</v>
      </c>
      <c r="D26" s="17">
        <v>15</v>
      </c>
      <c r="E26" s="17" t="s">
        <v>800</v>
      </c>
      <c r="F26" s="17" t="s">
        <v>243</v>
      </c>
      <c r="G26" s="17" t="s">
        <v>801</v>
      </c>
      <c r="H26" s="17" t="s">
        <v>828</v>
      </c>
      <c r="I26" s="17">
        <v>4</v>
      </c>
      <c r="J26" s="18">
        <f t="shared" si="0"/>
        <v>0</v>
      </c>
      <c r="K26" s="18">
        <f t="shared" si="1"/>
        <v>0</v>
      </c>
      <c r="L26" s="20">
        <f>IF(H26="Shipped",'Capacity &amp; Cost Dashboard'!D27+'Capacity &amp; Cost Dashboard'!D28*D26*INDEX('Capacity &amp; Cost Dashboard'!$C$31:$C$38,MATCH(INDEX(Products!$C$2:$C$31,MATCH(C26,Products!$A$2:$A$31,0)),'Capacity &amp; Cost Dashboard'!$B$31:$B$38,0)),0)</f>
        <v>14.75</v>
      </c>
    </row>
    <row r="27" spans="1:12" ht="18" x14ac:dyDescent="0.2">
      <c r="A27" s="17">
        <v>617</v>
      </c>
      <c r="B27" s="17" t="s">
        <v>837</v>
      </c>
      <c r="C27" s="17" t="s">
        <v>102</v>
      </c>
      <c r="D27" s="17">
        <v>10</v>
      </c>
      <c r="E27" s="17" t="s">
        <v>171</v>
      </c>
      <c r="F27" s="17" t="s">
        <v>827</v>
      </c>
      <c r="G27" s="17" t="s">
        <v>246</v>
      </c>
      <c r="H27" s="17" t="s">
        <v>828</v>
      </c>
      <c r="I27" s="17">
        <v>3</v>
      </c>
      <c r="J27" s="18">
        <f t="shared" si="0"/>
        <v>1</v>
      </c>
      <c r="K27" s="18">
        <f t="shared" si="1"/>
        <v>0</v>
      </c>
      <c r="L27" s="20" t="e">
        <f>IF(H27="Shipped",'Capacity &amp; Cost Dashboard'!D27+'Capacity &amp; Cost Dashboard'!D28*D27*INDEX('Capacity &amp; Cost Dashboard'!$C$31:$C$38,MATCH(INDEX(Products!$C$2:$C$31,MATCH(C27,Products!$A$2:$A$31,0)),'Capacity &amp; Cost Dashboard'!$B$31:$B$38,0)),0)</f>
        <v>#N/A</v>
      </c>
    </row>
    <row r="28" spans="1:12" ht="18" x14ac:dyDescent="0.2">
      <c r="A28" s="17">
        <v>618</v>
      </c>
      <c r="B28" s="17" t="s">
        <v>843</v>
      </c>
      <c r="C28" s="17" t="s">
        <v>134</v>
      </c>
      <c r="D28" s="17">
        <v>10</v>
      </c>
      <c r="E28" s="17" t="s">
        <v>797</v>
      </c>
      <c r="F28" s="17" t="s">
        <v>800</v>
      </c>
      <c r="G28" s="17" t="s">
        <v>799</v>
      </c>
      <c r="H28" s="17" t="s">
        <v>828</v>
      </c>
      <c r="I28" s="17">
        <v>5</v>
      </c>
      <c r="J28" s="18">
        <f t="shared" si="0"/>
        <v>0</v>
      </c>
      <c r="K28" s="18">
        <f t="shared" si="1"/>
        <v>0</v>
      </c>
      <c r="L28" s="20">
        <f>IF(H28="Shipped",'Capacity &amp; Cost Dashboard'!D27+'Capacity &amp; Cost Dashboard'!D28*D28*INDEX('Capacity &amp; Cost Dashboard'!$C$31:$C$38,MATCH(INDEX(Products!$C$2:$C$31,MATCH(C28,Products!$A$2:$A$31,0)),'Capacity &amp; Cost Dashboard'!$B$31:$B$38,0)),0)</f>
        <v>17</v>
      </c>
    </row>
    <row r="29" spans="1:12" ht="18" x14ac:dyDescent="0.2">
      <c r="A29" s="17">
        <v>619</v>
      </c>
      <c r="B29" s="17" t="s">
        <v>833</v>
      </c>
      <c r="C29" s="17" t="s">
        <v>113</v>
      </c>
      <c r="D29" s="17">
        <v>8</v>
      </c>
      <c r="E29" s="17" t="s">
        <v>798</v>
      </c>
      <c r="F29" s="17" t="s">
        <v>246</v>
      </c>
      <c r="G29" s="17" t="s">
        <v>827</v>
      </c>
      <c r="H29" s="17" t="s">
        <v>828</v>
      </c>
      <c r="I29" s="17">
        <v>5</v>
      </c>
      <c r="J29" s="18">
        <f t="shared" si="0"/>
        <v>0</v>
      </c>
      <c r="K29" s="18">
        <f t="shared" si="1"/>
        <v>0</v>
      </c>
      <c r="L29" s="20">
        <f>IF(H29="Shipped",'Capacity &amp; Cost Dashboard'!D27+'Capacity &amp; Cost Dashboard'!D28*D29*INDEX('Capacity &amp; Cost Dashboard'!$C$31:$C$38,MATCH(INDEX(Products!$C$2:$C$31,MATCH(C29,Products!$A$2:$A$31,0)),'Capacity &amp; Cost Dashboard'!$B$31:$B$38,0)),0)</f>
        <v>15.2</v>
      </c>
    </row>
    <row r="30" spans="1:12" ht="18" x14ac:dyDescent="0.2">
      <c r="A30" s="17">
        <v>620</v>
      </c>
      <c r="B30" s="17" t="s">
        <v>835</v>
      </c>
      <c r="C30" s="17" t="s">
        <v>145</v>
      </c>
      <c r="D30" s="17">
        <v>13</v>
      </c>
      <c r="E30" s="17" t="s">
        <v>799</v>
      </c>
      <c r="F30" s="17" t="s">
        <v>801</v>
      </c>
      <c r="G30" s="17" t="s">
        <v>801</v>
      </c>
      <c r="H30" s="17" t="s">
        <v>828</v>
      </c>
      <c r="I30" s="17">
        <v>5</v>
      </c>
      <c r="J30" s="18">
        <f t="shared" si="0"/>
        <v>0</v>
      </c>
      <c r="K30" s="18">
        <f t="shared" si="1"/>
        <v>0</v>
      </c>
      <c r="L30" s="20">
        <f>IF(H30="Shipped",'Capacity &amp; Cost Dashboard'!D27+'Capacity &amp; Cost Dashboard'!D28*D30*INDEX('Capacity &amp; Cost Dashboard'!$C$31:$C$38,MATCH(INDEX(Products!$C$2:$C$31,MATCH(C30,Products!$A$2:$A$31,0)),'Capacity &amp; Cost Dashboard'!$B$31:$B$38,0)),0)</f>
        <v>9.7550000000000008</v>
      </c>
    </row>
    <row r="31" spans="1:12" ht="18" x14ac:dyDescent="0.2">
      <c r="A31" s="17">
        <v>621</v>
      </c>
      <c r="B31" s="17" t="s">
        <v>842</v>
      </c>
      <c r="C31" s="17" t="s">
        <v>113</v>
      </c>
      <c r="D31" s="17">
        <v>8</v>
      </c>
      <c r="E31" s="17" t="s">
        <v>800</v>
      </c>
      <c r="F31" s="17" t="s">
        <v>243</v>
      </c>
      <c r="G31" s="17" t="s">
        <v>801</v>
      </c>
      <c r="H31" s="17" t="s">
        <v>828</v>
      </c>
      <c r="I31" s="17">
        <v>5</v>
      </c>
      <c r="J31" s="18">
        <f t="shared" si="0"/>
        <v>0</v>
      </c>
      <c r="K31" s="18">
        <f t="shared" si="1"/>
        <v>0</v>
      </c>
      <c r="L31" s="20">
        <f>IF(H31="Shipped",'Capacity &amp; Cost Dashboard'!D27+'Capacity &amp; Cost Dashboard'!D28*D31*INDEX('Capacity &amp; Cost Dashboard'!$C$31:$C$38,MATCH(INDEX(Products!$C$2:$C$31,MATCH(C31,Products!$A$2:$A$31,0)),'Capacity &amp; Cost Dashboard'!$B$31:$B$38,0)),0)</f>
        <v>15.2</v>
      </c>
    </row>
    <row r="32" spans="1:12" ht="18" x14ac:dyDescent="0.2">
      <c r="A32" s="17">
        <v>622</v>
      </c>
      <c r="B32" s="17" t="s">
        <v>844</v>
      </c>
      <c r="C32" s="17" t="s">
        <v>159</v>
      </c>
      <c r="D32" s="17">
        <v>4</v>
      </c>
      <c r="E32" s="17" t="s">
        <v>797</v>
      </c>
      <c r="F32" s="17" t="s">
        <v>800</v>
      </c>
      <c r="G32" s="17" t="s">
        <v>799</v>
      </c>
      <c r="H32" s="17" t="s">
        <v>828</v>
      </c>
      <c r="I32" s="17">
        <v>5</v>
      </c>
      <c r="J32" s="18">
        <f t="shared" si="0"/>
        <v>0</v>
      </c>
      <c r="K32" s="18">
        <f t="shared" si="1"/>
        <v>0</v>
      </c>
      <c r="L32" s="20">
        <f>IF(H32="Shipped",'Capacity &amp; Cost Dashboard'!D27+'Capacity &amp; Cost Dashboard'!D28*D32*INDEX('Capacity &amp; Cost Dashboard'!$C$31:$C$38,MATCH(INDEX(Products!$C$2:$C$31,MATCH(C32,Products!$A$2:$A$31,0)),'Capacity &amp; Cost Dashboard'!$B$31:$B$38,0)),0)</f>
        <v>13.4</v>
      </c>
    </row>
    <row r="33" spans="1:12" ht="18" x14ac:dyDescent="0.2">
      <c r="A33" s="17">
        <v>623</v>
      </c>
      <c r="B33" s="17" t="s">
        <v>845</v>
      </c>
      <c r="C33" s="17" t="s">
        <v>118</v>
      </c>
      <c r="D33" s="17">
        <v>13</v>
      </c>
      <c r="E33" s="17" t="s">
        <v>799</v>
      </c>
      <c r="F33" s="17" t="s">
        <v>246</v>
      </c>
      <c r="G33" s="17" t="s">
        <v>246</v>
      </c>
      <c r="H33" s="17" t="s">
        <v>828</v>
      </c>
      <c r="I33" s="17">
        <v>5</v>
      </c>
      <c r="J33" s="18">
        <f t="shared" si="0"/>
        <v>0</v>
      </c>
      <c r="K33" s="18">
        <f t="shared" si="1"/>
        <v>0</v>
      </c>
      <c r="L33" s="20">
        <f>IF(H33="Shipped",'Capacity &amp; Cost Dashboard'!D27+'Capacity &amp; Cost Dashboard'!D28*D33*INDEX('Capacity &amp; Cost Dashboard'!$C$31:$C$38,MATCH(INDEX(Products!$C$2:$C$31,MATCH(C33,Products!$A$2:$A$31,0)),'Capacity &amp; Cost Dashboard'!$B$31:$B$38,0)),0)</f>
        <v>19.700000000000003</v>
      </c>
    </row>
    <row r="34" spans="1:12" ht="18" x14ac:dyDescent="0.2">
      <c r="A34" s="17">
        <v>624</v>
      </c>
      <c r="B34" s="17" t="s">
        <v>846</v>
      </c>
      <c r="C34" s="17" t="s">
        <v>113</v>
      </c>
      <c r="D34" s="17">
        <v>1</v>
      </c>
      <c r="E34" s="17" t="s">
        <v>800</v>
      </c>
      <c r="F34" s="17" t="s">
        <v>243</v>
      </c>
      <c r="G34" s="17" t="s">
        <v>243</v>
      </c>
      <c r="H34" s="17" t="s">
        <v>828</v>
      </c>
      <c r="I34" s="17">
        <v>4</v>
      </c>
      <c r="J34" s="18">
        <f t="shared" si="0"/>
        <v>0</v>
      </c>
      <c r="K34" s="18">
        <f t="shared" si="1"/>
        <v>0</v>
      </c>
      <c r="L34" s="20">
        <f>IF(H34="Shipped",'Capacity &amp; Cost Dashboard'!D27+'Capacity &amp; Cost Dashboard'!D28*D34*INDEX('Capacity &amp; Cost Dashboard'!$C$31:$C$38,MATCH(INDEX(Products!$C$2:$C$31,MATCH(C34,Products!$A$2:$A$31,0)),'Capacity &amp; Cost Dashboard'!$B$31:$B$38,0)),0)</f>
        <v>8.9</v>
      </c>
    </row>
    <row r="35" spans="1:12" ht="18" x14ac:dyDescent="0.2">
      <c r="A35" s="17">
        <v>625</v>
      </c>
      <c r="B35" s="17" t="s">
        <v>847</v>
      </c>
      <c r="C35" s="17" t="s">
        <v>98</v>
      </c>
      <c r="D35" s="17">
        <v>26</v>
      </c>
      <c r="E35" s="17" t="s">
        <v>171</v>
      </c>
      <c r="F35" s="17" t="s">
        <v>799</v>
      </c>
      <c r="G35" s="17" t="s">
        <v>799</v>
      </c>
      <c r="H35" s="17" t="s">
        <v>828</v>
      </c>
      <c r="I35" s="17">
        <v>5</v>
      </c>
      <c r="J35" s="18">
        <f t="shared" si="0"/>
        <v>0</v>
      </c>
      <c r="K35" s="18">
        <f t="shared" si="1"/>
        <v>0</v>
      </c>
      <c r="L35" s="20" t="e">
        <f>IF(H35="Shipped",'Capacity &amp; Cost Dashboard'!D27+'Capacity &amp; Cost Dashboard'!D28*D35*INDEX('Capacity &amp; Cost Dashboard'!$C$31:$C$38,MATCH(INDEX(Products!$C$2:$C$31,MATCH(C35,Products!$A$2:$A$31,0)),'Capacity &amp; Cost Dashboard'!$B$31:$B$38,0)),0)</f>
        <v>#N/A</v>
      </c>
    </row>
    <row r="36" spans="1:12" ht="18" x14ac:dyDescent="0.2">
      <c r="A36" s="17">
        <v>626</v>
      </c>
      <c r="B36" s="17" t="s">
        <v>839</v>
      </c>
      <c r="C36" s="17" t="s">
        <v>107</v>
      </c>
      <c r="D36" s="17">
        <v>8</v>
      </c>
      <c r="E36" s="17" t="s">
        <v>171</v>
      </c>
      <c r="F36" s="17" t="s">
        <v>827</v>
      </c>
      <c r="G36" s="17" t="s">
        <v>827</v>
      </c>
      <c r="H36" s="17" t="s">
        <v>828</v>
      </c>
      <c r="I36" s="17">
        <v>4</v>
      </c>
      <c r="J36" s="18">
        <f t="shared" si="0"/>
        <v>0</v>
      </c>
      <c r="K36" s="18">
        <f t="shared" si="1"/>
        <v>0</v>
      </c>
      <c r="L36" s="20">
        <f>IF(H36="Shipped",'Capacity &amp; Cost Dashboard'!D27+'Capacity &amp; Cost Dashboard'!D28*D36*INDEX('Capacity &amp; Cost Dashboard'!$C$31:$C$38,MATCH(INDEX(Products!$C$2:$C$31,MATCH(C36,Products!$A$2:$A$31,0)),'Capacity &amp; Cost Dashboard'!$B$31:$B$38,0)),0)</f>
        <v>26</v>
      </c>
    </row>
    <row r="37" spans="1:12" ht="18" x14ac:dyDescent="0.2">
      <c r="A37" s="17">
        <v>627</v>
      </c>
      <c r="B37" s="17" t="s">
        <v>833</v>
      </c>
      <c r="C37" s="17" t="s">
        <v>113</v>
      </c>
      <c r="D37" s="17">
        <v>5</v>
      </c>
      <c r="E37" s="17" t="s">
        <v>798</v>
      </c>
      <c r="F37" s="17" t="s">
        <v>827</v>
      </c>
      <c r="G37" s="17" t="s">
        <v>827</v>
      </c>
      <c r="H37" s="17" t="s">
        <v>828</v>
      </c>
      <c r="I37" s="17">
        <v>5</v>
      </c>
      <c r="J37" s="18">
        <f t="shared" si="0"/>
        <v>0</v>
      </c>
      <c r="K37" s="18">
        <f t="shared" si="1"/>
        <v>0</v>
      </c>
      <c r="L37" s="20">
        <f>IF(H37="Shipped",'Capacity &amp; Cost Dashboard'!D27+'Capacity &amp; Cost Dashboard'!D28*D37*INDEX('Capacity &amp; Cost Dashboard'!$C$31:$C$38,MATCH(INDEX(Products!$C$2:$C$31,MATCH(C37,Products!$A$2:$A$31,0)),'Capacity &amp; Cost Dashboard'!$B$31:$B$38,0)),0)</f>
        <v>12.5</v>
      </c>
    </row>
    <row r="38" spans="1:12" ht="18" x14ac:dyDescent="0.2">
      <c r="A38" s="17">
        <v>628</v>
      </c>
      <c r="B38" s="17" t="s">
        <v>833</v>
      </c>
      <c r="C38" s="17" t="s">
        <v>145</v>
      </c>
      <c r="D38" s="17">
        <v>12</v>
      </c>
      <c r="E38" s="17" t="s">
        <v>800</v>
      </c>
      <c r="F38" s="17" t="s">
        <v>173</v>
      </c>
      <c r="G38" s="17" t="s">
        <v>173</v>
      </c>
      <c r="H38" s="17" t="s">
        <v>828</v>
      </c>
      <c r="I38" s="17">
        <v>5</v>
      </c>
      <c r="J38" s="18">
        <f t="shared" si="0"/>
        <v>0</v>
      </c>
      <c r="K38" s="18">
        <f t="shared" si="1"/>
        <v>0</v>
      </c>
      <c r="L38" s="20">
        <f>IF(H38="Shipped",'Capacity &amp; Cost Dashboard'!D27+'Capacity &amp; Cost Dashboard'!D28*D38*INDEX('Capacity &amp; Cost Dashboard'!$C$31:$C$38,MATCH(INDEX(Products!$C$2:$C$31,MATCH(C38,Products!$A$2:$A$31,0)),'Capacity &amp; Cost Dashboard'!$B$31:$B$38,0)),0)</f>
        <v>9.620000000000001</v>
      </c>
    </row>
    <row r="39" spans="1:12" ht="18" x14ac:dyDescent="0.2">
      <c r="A39" s="17">
        <v>629</v>
      </c>
      <c r="B39" s="17" t="s">
        <v>848</v>
      </c>
      <c r="C39" s="17" t="s">
        <v>104</v>
      </c>
      <c r="D39" s="17">
        <v>3</v>
      </c>
      <c r="E39" s="17" t="s">
        <v>800</v>
      </c>
      <c r="F39" s="17" t="s">
        <v>173</v>
      </c>
      <c r="G39" s="17" t="s">
        <v>232</v>
      </c>
      <c r="H39" s="17" t="s">
        <v>828</v>
      </c>
      <c r="I39" s="17">
        <v>3</v>
      </c>
      <c r="J39" s="18">
        <f t="shared" si="0"/>
        <v>1</v>
      </c>
      <c r="K39" s="18">
        <f t="shared" si="1"/>
        <v>0</v>
      </c>
      <c r="L39" s="20">
        <f>IF(H39="Shipped",'Capacity &amp; Cost Dashboard'!D27+'Capacity &amp; Cost Dashboard'!D28*D39*INDEX('Capacity &amp; Cost Dashboard'!$C$31:$C$38,MATCH(INDEX(Products!$C$2:$C$31,MATCH(C39,Products!$A$2:$A$31,0)),'Capacity &amp; Cost Dashboard'!$B$31:$B$38,0)),0)</f>
        <v>14.75</v>
      </c>
    </row>
    <row r="40" spans="1:12" ht="18" x14ac:dyDescent="0.2">
      <c r="A40" s="17">
        <v>630</v>
      </c>
      <c r="B40" s="17" t="s">
        <v>833</v>
      </c>
      <c r="C40" s="17" t="s">
        <v>120</v>
      </c>
      <c r="D40" s="17">
        <v>8</v>
      </c>
      <c r="E40" s="17" t="s">
        <v>800</v>
      </c>
      <c r="F40" s="17" t="s">
        <v>243</v>
      </c>
      <c r="G40" s="17" t="s">
        <v>243</v>
      </c>
      <c r="H40" s="17" t="s">
        <v>828</v>
      </c>
      <c r="I40" s="17">
        <v>4</v>
      </c>
      <c r="J40" s="18">
        <f t="shared" si="0"/>
        <v>0</v>
      </c>
      <c r="K40" s="18">
        <f t="shared" si="1"/>
        <v>0</v>
      </c>
      <c r="L40" s="20">
        <f>IF(H40="Shipped",'Capacity &amp; Cost Dashboard'!D27+'Capacity &amp; Cost Dashboard'!D28*D40*INDEX('Capacity &amp; Cost Dashboard'!$C$31:$C$38,MATCH(INDEX(Products!$C$2:$C$31,MATCH(C40,Products!$A$2:$A$31,0)),'Capacity &amp; Cost Dashboard'!$B$31:$B$38,0)),0)</f>
        <v>11.6</v>
      </c>
    </row>
    <row r="41" spans="1:12" ht="18" x14ac:dyDescent="0.2">
      <c r="A41" s="17">
        <v>631</v>
      </c>
      <c r="B41" s="17" t="s">
        <v>832</v>
      </c>
      <c r="C41" s="17" t="s">
        <v>159</v>
      </c>
      <c r="D41" s="17">
        <v>3</v>
      </c>
      <c r="E41" s="17" t="s">
        <v>799</v>
      </c>
      <c r="F41" s="17" t="s">
        <v>173</v>
      </c>
      <c r="G41" s="17" t="s">
        <v>173</v>
      </c>
      <c r="H41" s="17" t="s">
        <v>828</v>
      </c>
      <c r="I41" s="17">
        <v>4</v>
      </c>
      <c r="J41" s="18">
        <f t="shared" si="0"/>
        <v>0</v>
      </c>
      <c r="K41" s="18">
        <f t="shared" si="1"/>
        <v>0</v>
      </c>
      <c r="L41" s="20">
        <f>IF(H41="Shipped",'Capacity &amp; Cost Dashboard'!D27+'Capacity &amp; Cost Dashboard'!D28*D41*INDEX('Capacity &amp; Cost Dashboard'!$C$31:$C$38,MATCH(INDEX(Products!$C$2:$C$31,MATCH(C41,Products!$A$2:$A$31,0)),'Capacity &amp; Cost Dashboard'!$B$31:$B$38,0)),0)</f>
        <v>12.05</v>
      </c>
    </row>
    <row r="42" spans="1:12" ht="18" x14ac:dyDescent="0.2">
      <c r="A42" s="17">
        <v>632</v>
      </c>
      <c r="B42" s="17" t="s">
        <v>844</v>
      </c>
      <c r="C42" s="17" t="s">
        <v>132</v>
      </c>
      <c r="D42" s="17">
        <v>1</v>
      </c>
      <c r="E42" s="17" t="s">
        <v>797</v>
      </c>
      <c r="F42" s="17" t="s">
        <v>246</v>
      </c>
      <c r="G42" s="17" t="s">
        <v>246</v>
      </c>
      <c r="H42" s="17" t="s">
        <v>828</v>
      </c>
      <c r="I42" s="17">
        <v>5</v>
      </c>
      <c r="J42" s="18">
        <f t="shared" si="0"/>
        <v>0</v>
      </c>
      <c r="K42" s="18">
        <f t="shared" si="1"/>
        <v>0</v>
      </c>
      <c r="L42" s="20">
        <f>IF(H42="Shipped",'Capacity &amp; Cost Dashboard'!D27+'Capacity &amp; Cost Dashboard'!D28*D42*INDEX('Capacity &amp; Cost Dashboard'!$C$31:$C$38,MATCH(INDEX(Products!$C$2:$C$31,MATCH(C42,Products!$A$2:$A$31,0)),'Capacity &amp; Cost Dashboard'!$B$31:$B$38,0)),0)</f>
        <v>8.9</v>
      </c>
    </row>
    <row r="43" spans="1:12" ht="18" x14ac:dyDescent="0.2">
      <c r="A43" s="17">
        <v>633</v>
      </c>
      <c r="B43" s="17" t="s">
        <v>849</v>
      </c>
      <c r="C43" s="17" t="s">
        <v>136</v>
      </c>
      <c r="D43" s="17">
        <v>29</v>
      </c>
      <c r="E43" s="17" t="s">
        <v>800</v>
      </c>
      <c r="F43" s="17" t="s">
        <v>173</v>
      </c>
      <c r="G43" s="17" t="s">
        <v>173</v>
      </c>
      <c r="H43" s="17" t="s">
        <v>828</v>
      </c>
      <c r="I43" s="17">
        <v>5</v>
      </c>
      <c r="J43" s="18">
        <f t="shared" si="0"/>
        <v>0</v>
      </c>
      <c r="K43" s="18">
        <f t="shared" si="1"/>
        <v>0</v>
      </c>
      <c r="L43" s="20">
        <f>IF(H43="Shipped",'Capacity &amp; Cost Dashboard'!D27+'Capacity &amp; Cost Dashboard'!D28*D43*INDEX('Capacity &amp; Cost Dashboard'!$C$31:$C$38,MATCH(INDEX(Products!$C$2:$C$31,MATCH(C43,Products!$A$2:$A$31,0)),'Capacity &amp; Cost Dashboard'!$B$31:$B$38,0)),0)</f>
        <v>11.914999999999999</v>
      </c>
    </row>
    <row r="44" spans="1:12" ht="18" x14ac:dyDescent="0.2">
      <c r="A44" s="17">
        <v>634</v>
      </c>
      <c r="B44" s="17" t="s">
        <v>848</v>
      </c>
      <c r="C44" s="17" t="s">
        <v>107</v>
      </c>
      <c r="D44" s="17">
        <v>8</v>
      </c>
      <c r="E44" s="17" t="s">
        <v>798</v>
      </c>
      <c r="F44" s="17" t="s">
        <v>173</v>
      </c>
      <c r="G44" s="17" t="s">
        <v>173</v>
      </c>
      <c r="H44" s="17" t="s">
        <v>828</v>
      </c>
      <c r="I44" s="17">
        <v>5</v>
      </c>
      <c r="J44" s="18">
        <f t="shared" si="0"/>
        <v>0</v>
      </c>
      <c r="K44" s="18">
        <f t="shared" si="1"/>
        <v>0</v>
      </c>
      <c r="L44" s="20">
        <f>IF(H44="Shipped",'Capacity &amp; Cost Dashboard'!D27+'Capacity &amp; Cost Dashboard'!D28*D44*INDEX('Capacity &amp; Cost Dashboard'!$C$31:$C$38,MATCH(INDEX(Products!$C$2:$C$31,MATCH(C44,Products!$A$2:$A$31,0)),'Capacity &amp; Cost Dashboard'!$B$31:$B$38,0)),0)</f>
        <v>26</v>
      </c>
    </row>
    <row r="45" spans="1:12" ht="18" x14ac:dyDescent="0.2">
      <c r="A45" s="17">
        <v>635</v>
      </c>
      <c r="B45" s="17" t="s">
        <v>837</v>
      </c>
      <c r="C45" s="17" t="s">
        <v>116</v>
      </c>
      <c r="D45" s="17">
        <v>3</v>
      </c>
      <c r="E45" s="17" t="s">
        <v>797</v>
      </c>
      <c r="F45" s="17" t="s">
        <v>800</v>
      </c>
      <c r="G45" s="17" t="s">
        <v>799</v>
      </c>
      <c r="H45" s="17" t="s">
        <v>828</v>
      </c>
      <c r="I45" s="17">
        <v>4</v>
      </c>
      <c r="J45" s="18">
        <f t="shared" si="0"/>
        <v>0</v>
      </c>
      <c r="K45" s="18">
        <f t="shared" si="1"/>
        <v>0</v>
      </c>
      <c r="L45" s="20">
        <f>IF(H45="Shipped",'Capacity &amp; Cost Dashboard'!D27+'Capacity &amp; Cost Dashboard'!D28*D45*INDEX('Capacity &amp; Cost Dashboard'!$C$31:$C$38,MATCH(INDEX(Products!$C$2:$C$31,MATCH(C45,Products!$A$2:$A$31,0)),'Capacity &amp; Cost Dashboard'!$B$31:$B$38,0)),0)</f>
        <v>10.7</v>
      </c>
    </row>
    <row r="46" spans="1:12" ht="18" x14ac:dyDescent="0.2">
      <c r="A46" s="17">
        <v>636</v>
      </c>
      <c r="B46" s="17" t="s">
        <v>850</v>
      </c>
      <c r="C46" s="17" t="s">
        <v>125</v>
      </c>
      <c r="D46" s="17">
        <v>3</v>
      </c>
      <c r="E46" s="17" t="s">
        <v>171</v>
      </c>
      <c r="F46" s="17" t="s">
        <v>827</v>
      </c>
      <c r="G46" s="17" t="s">
        <v>801</v>
      </c>
      <c r="H46" s="17" t="s">
        <v>828</v>
      </c>
      <c r="I46" s="17">
        <v>4</v>
      </c>
      <c r="J46" s="18">
        <f t="shared" si="0"/>
        <v>1</v>
      </c>
      <c r="K46" s="18">
        <f t="shared" si="1"/>
        <v>0</v>
      </c>
      <c r="L46" s="20">
        <f>IF(H46="Shipped",'Capacity &amp; Cost Dashboard'!D27+'Capacity &amp; Cost Dashboard'!D28*D46*INDEX('Capacity &amp; Cost Dashboard'!$C$31:$C$38,MATCH(INDEX(Products!$C$2:$C$31,MATCH(C46,Products!$A$2:$A$31,0)),'Capacity &amp; Cost Dashboard'!$B$31:$B$38,0)),0)</f>
        <v>9.35</v>
      </c>
    </row>
    <row r="47" spans="1:12" ht="18" x14ac:dyDescent="0.2">
      <c r="A47" s="17">
        <v>637</v>
      </c>
      <c r="B47" s="17" t="s">
        <v>851</v>
      </c>
      <c r="C47" s="17" t="s">
        <v>118</v>
      </c>
      <c r="D47" s="17">
        <v>13</v>
      </c>
      <c r="E47" s="17" t="s">
        <v>171</v>
      </c>
      <c r="F47" s="17" t="s">
        <v>827</v>
      </c>
      <c r="G47" s="17" t="s">
        <v>827</v>
      </c>
      <c r="H47" s="17" t="s">
        <v>828</v>
      </c>
      <c r="I47" s="17">
        <v>5</v>
      </c>
      <c r="J47" s="18">
        <f t="shared" si="0"/>
        <v>0</v>
      </c>
      <c r="K47" s="18">
        <f t="shared" si="1"/>
        <v>0</v>
      </c>
      <c r="L47" s="20">
        <f>IF(H47="Shipped",'Capacity &amp; Cost Dashboard'!D27+'Capacity &amp; Cost Dashboard'!D28*D47*INDEX('Capacity &amp; Cost Dashboard'!$C$31:$C$38,MATCH(INDEX(Products!$C$2:$C$31,MATCH(C47,Products!$A$2:$A$31,0)),'Capacity &amp; Cost Dashboard'!$B$31:$B$38,0)),0)</f>
        <v>19.700000000000003</v>
      </c>
    </row>
    <row r="48" spans="1:12" ht="18" x14ac:dyDescent="0.2">
      <c r="A48" s="17">
        <v>638</v>
      </c>
      <c r="B48" s="17" t="s">
        <v>851</v>
      </c>
      <c r="C48" s="17" t="s">
        <v>95</v>
      </c>
      <c r="D48" s="17">
        <v>19</v>
      </c>
      <c r="E48" s="17" t="s">
        <v>242</v>
      </c>
      <c r="F48" s="17" t="s">
        <v>280</v>
      </c>
      <c r="G48" s="17" t="s">
        <v>280</v>
      </c>
      <c r="H48" s="17" t="s">
        <v>828</v>
      </c>
      <c r="I48" s="17">
        <v>4</v>
      </c>
      <c r="J48" s="18">
        <f t="shared" si="0"/>
        <v>0</v>
      </c>
      <c r="K48" s="18">
        <f t="shared" si="1"/>
        <v>1</v>
      </c>
      <c r="L48" s="20" t="e">
        <f>IF(H48="Shipped",'Capacity &amp; Cost Dashboard'!D27+'Capacity &amp; Cost Dashboard'!D28*D48*INDEX('Capacity &amp; Cost Dashboard'!$C$31:$C$38,MATCH(INDEX(Products!$C$2:$C$31,MATCH(C48,Products!$A$2:$A$31,0)),'Capacity &amp; Cost Dashboard'!$B$31:$B$38,0)),0)</f>
        <v>#N/A</v>
      </c>
    </row>
    <row r="49" spans="1:12" ht="18" x14ac:dyDescent="0.2">
      <c r="A49" s="17">
        <v>639</v>
      </c>
      <c r="B49" s="17" t="s">
        <v>831</v>
      </c>
      <c r="C49" s="17" t="s">
        <v>98</v>
      </c>
      <c r="D49" s="17">
        <v>14</v>
      </c>
      <c r="E49" s="17" t="s">
        <v>801</v>
      </c>
      <c r="F49" s="17" t="s">
        <v>249</v>
      </c>
      <c r="G49" s="17" t="s">
        <v>236</v>
      </c>
      <c r="H49" s="17" t="s">
        <v>828</v>
      </c>
      <c r="I49" s="17">
        <v>2</v>
      </c>
      <c r="J49" s="18">
        <f t="shared" si="0"/>
        <v>1</v>
      </c>
      <c r="K49" s="18">
        <f t="shared" si="1"/>
        <v>1</v>
      </c>
      <c r="L49" s="20" t="e">
        <f>IF(H49="Shipped",'Capacity &amp; Cost Dashboard'!D27+'Capacity &amp; Cost Dashboard'!D28*D49*INDEX('Capacity &amp; Cost Dashboard'!$C$31:$C$38,MATCH(INDEX(Products!$C$2:$C$31,MATCH(C49,Products!$A$2:$A$31,0)),'Capacity &amp; Cost Dashboard'!$B$31:$B$38,0)),0)</f>
        <v>#N/A</v>
      </c>
    </row>
    <row r="50" spans="1:12" ht="18" x14ac:dyDescent="0.2">
      <c r="A50" s="17">
        <v>640</v>
      </c>
      <c r="B50" s="17" t="s">
        <v>837</v>
      </c>
      <c r="C50" s="17" t="s">
        <v>136</v>
      </c>
      <c r="D50" s="17">
        <v>2</v>
      </c>
      <c r="E50" s="17" t="s">
        <v>801</v>
      </c>
      <c r="F50" s="17" t="s">
        <v>232</v>
      </c>
      <c r="G50" s="17" t="s">
        <v>232</v>
      </c>
      <c r="H50" s="17" t="s">
        <v>828</v>
      </c>
      <c r="I50" s="17">
        <v>5</v>
      </c>
      <c r="J50" s="18">
        <f t="shared" si="0"/>
        <v>0</v>
      </c>
      <c r="K50" s="18">
        <f t="shared" si="1"/>
        <v>1</v>
      </c>
      <c r="L50" s="20">
        <f>IF(H50="Shipped",'Capacity &amp; Cost Dashboard'!D27+'Capacity &amp; Cost Dashboard'!D28*D50*INDEX('Capacity &amp; Cost Dashboard'!$C$31:$C$38,MATCH(INDEX(Products!$C$2:$C$31,MATCH(C50,Products!$A$2:$A$31,0)),'Capacity &amp; Cost Dashboard'!$B$31:$B$38,0)),0)</f>
        <v>8.27</v>
      </c>
    </row>
    <row r="51" spans="1:12" ht="18" x14ac:dyDescent="0.2">
      <c r="A51" s="17">
        <v>641</v>
      </c>
      <c r="B51" s="17" t="s">
        <v>832</v>
      </c>
      <c r="C51" s="17" t="s">
        <v>159</v>
      </c>
      <c r="D51" s="17">
        <v>3</v>
      </c>
      <c r="E51" s="17" t="s">
        <v>801</v>
      </c>
      <c r="F51" s="17" t="s">
        <v>249</v>
      </c>
      <c r="G51" s="17" t="s">
        <v>249</v>
      </c>
      <c r="H51" s="17" t="s">
        <v>828</v>
      </c>
      <c r="I51" s="17">
        <v>4</v>
      </c>
      <c r="J51" s="18">
        <f t="shared" si="0"/>
        <v>0</v>
      </c>
      <c r="K51" s="18">
        <f t="shared" si="1"/>
        <v>1</v>
      </c>
      <c r="L51" s="20">
        <f>IF(H51="Shipped",'Capacity &amp; Cost Dashboard'!D27+'Capacity &amp; Cost Dashboard'!D28*D51*INDEX('Capacity &amp; Cost Dashboard'!$C$31:$C$38,MATCH(INDEX(Products!$C$2:$C$31,MATCH(C51,Products!$A$2:$A$31,0)),'Capacity &amp; Cost Dashboard'!$B$31:$B$38,0)),0)</f>
        <v>12.05</v>
      </c>
    </row>
    <row r="52" spans="1:12" ht="18" x14ac:dyDescent="0.2">
      <c r="A52" s="17">
        <v>642</v>
      </c>
      <c r="B52" s="17" t="s">
        <v>844</v>
      </c>
      <c r="C52" s="17" t="s">
        <v>98</v>
      </c>
      <c r="D52" s="17">
        <v>33</v>
      </c>
      <c r="E52" s="17" t="s">
        <v>242</v>
      </c>
      <c r="F52" s="17" t="s">
        <v>280</v>
      </c>
      <c r="G52" s="17" t="s">
        <v>270</v>
      </c>
      <c r="H52" s="17" t="s">
        <v>828</v>
      </c>
      <c r="I52" s="17">
        <v>2</v>
      </c>
      <c r="J52" s="18">
        <f t="shared" si="0"/>
        <v>1</v>
      </c>
      <c r="K52" s="18">
        <f t="shared" si="1"/>
        <v>1</v>
      </c>
      <c r="L52" s="20" t="e">
        <f>IF(H52="Shipped",'Capacity &amp; Cost Dashboard'!D27+'Capacity &amp; Cost Dashboard'!D28*D52*INDEX('Capacity &amp; Cost Dashboard'!$C$31:$C$38,MATCH(INDEX(Products!$C$2:$C$31,MATCH(C52,Products!$A$2:$A$31,0)),'Capacity &amp; Cost Dashboard'!$B$31:$B$38,0)),0)</f>
        <v>#N/A</v>
      </c>
    </row>
    <row r="53" spans="1:12" ht="18" x14ac:dyDescent="0.2">
      <c r="A53" s="17">
        <v>643</v>
      </c>
      <c r="B53" s="17" t="s">
        <v>831</v>
      </c>
      <c r="C53" s="17" t="s">
        <v>104</v>
      </c>
      <c r="D53" s="17">
        <v>8</v>
      </c>
      <c r="E53" s="17" t="s">
        <v>233</v>
      </c>
      <c r="F53" s="17" t="s">
        <v>174</v>
      </c>
      <c r="G53" s="17" t="s">
        <v>174</v>
      </c>
      <c r="H53" s="17" t="s">
        <v>828</v>
      </c>
      <c r="I53" s="17">
        <v>4</v>
      </c>
      <c r="J53" s="18">
        <f t="shared" si="0"/>
        <v>0</v>
      </c>
      <c r="K53" s="18">
        <f t="shared" si="1"/>
        <v>1</v>
      </c>
      <c r="L53" s="20">
        <f>IF(H53="Shipped",'Capacity &amp; Cost Dashboard'!D27+'Capacity &amp; Cost Dashboard'!D28*D53*INDEX('Capacity &amp; Cost Dashboard'!$C$31:$C$38,MATCH(INDEX(Products!$C$2:$C$31,MATCH(C53,Products!$A$2:$A$31,0)),'Capacity &amp; Cost Dashboard'!$B$31:$B$38,0)),0)</f>
        <v>26</v>
      </c>
    </row>
    <row r="54" spans="1:12" ht="18" x14ac:dyDescent="0.2">
      <c r="A54" s="17">
        <v>644</v>
      </c>
      <c r="B54" s="17" t="s">
        <v>829</v>
      </c>
      <c r="C54" s="17" t="s">
        <v>130</v>
      </c>
      <c r="D54" s="17">
        <v>4</v>
      </c>
      <c r="E54" s="17" t="s">
        <v>173</v>
      </c>
      <c r="F54" s="17" t="s">
        <v>232</v>
      </c>
      <c r="G54" s="17" t="s">
        <v>232</v>
      </c>
      <c r="H54" s="17" t="s">
        <v>828</v>
      </c>
      <c r="I54" s="17">
        <v>4</v>
      </c>
      <c r="J54" s="18">
        <f t="shared" si="0"/>
        <v>0</v>
      </c>
      <c r="K54" s="18">
        <f t="shared" si="1"/>
        <v>1</v>
      </c>
      <c r="L54" s="20">
        <f>IF(H54="Shipped",'Capacity &amp; Cost Dashboard'!D27+'Capacity &amp; Cost Dashboard'!D28*D54*INDEX('Capacity &amp; Cost Dashboard'!$C$31:$C$38,MATCH(INDEX(Products!$C$2:$C$31,MATCH(C54,Products!$A$2:$A$31,0)),'Capacity &amp; Cost Dashboard'!$B$31:$B$38,0)),0)</f>
        <v>11.6</v>
      </c>
    </row>
    <row r="55" spans="1:12" ht="18" x14ac:dyDescent="0.2">
      <c r="A55" s="17">
        <v>645</v>
      </c>
      <c r="B55" s="17" t="s">
        <v>838</v>
      </c>
      <c r="C55" s="17" t="s">
        <v>159</v>
      </c>
      <c r="D55" s="17">
        <v>2</v>
      </c>
      <c r="E55" s="17" t="s">
        <v>801</v>
      </c>
      <c r="F55" s="17" t="s">
        <v>249</v>
      </c>
      <c r="G55" s="17" t="s">
        <v>236</v>
      </c>
      <c r="H55" s="17" t="s">
        <v>828</v>
      </c>
      <c r="I55" s="17">
        <v>3</v>
      </c>
      <c r="J55" s="18">
        <f t="shared" si="0"/>
        <v>1</v>
      </c>
      <c r="K55" s="18">
        <f t="shared" si="1"/>
        <v>1</v>
      </c>
      <c r="L55" s="20">
        <f>IF(H55="Shipped",'Capacity &amp; Cost Dashboard'!D27+'Capacity &amp; Cost Dashboard'!D28*D55*INDEX('Capacity &amp; Cost Dashboard'!$C$31:$C$38,MATCH(INDEX(Products!$C$2:$C$31,MATCH(C55,Products!$A$2:$A$31,0)),'Capacity &amp; Cost Dashboard'!$B$31:$B$38,0)),0)</f>
        <v>10.7</v>
      </c>
    </row>
    <row r="56" spans="1:12" ht="18" x14ac:dyDescent="0.2">
      <c r="A56" s="17">
        <v>646</v>
      </c>
      <c r="B56" s="17" t="s">
        <v>852</v>
      </c>
      <c r="C56" s="17" t="s">
        <v>161</v>
      </c>
      <c r="D56" s="17">
        <v>5</v>
      </c>
      <c r="E56" s="17" t="s">
        <v>173</v>
      </c>
      <c r="F56" s="17" t="s">
        <v>233</v>
      </c>
      <c r="G56" s="17" t="s">
        <v>233</v>
      </c>
      <c r="H56" s="17" t="s">
        <v>828</v>
      </c>
      <c r="I56" s="17">
        <v>5</v>
      </c>
      <c r="J56" s="18">
        <f t="shared" si="0"/>
        <v>0</v>
      </c>
      <c r="K56" s="18">
        <f t="shared" si="1"/>
        <v>1</v>
      </c>
      <c r="L56" s="20">
        <f>IF(H56="Shipped",'Capacity &amp; Cost Dashboard'!D27+'Capacity &amp; Cost Dashboard'!D28*D56*INDEX('Capacity &amp; Cost Dashboard'!$C$31:$C$38,MATCH(INDEX(Products!$C$2:$C$31,MATCH(C56,Products!$A$2:$A$31,0)),'Capacity &amp; Cost Dashboard'!$B$31:$B$38,0)),0)</f>
        <v>14.75</v>
      </c>
    </row>
    <row r="57" spans="1:12" ht="18" x14ac:dyDescent="0.2">
      <c r="A57" s="17">
        <v>647</v>
      </c>
      <c r="B57" s="17" t="s">
        <v>831</v>
      </c>
      <c r="C57" s="17" t="s">
        <v>123</v>
      </c>
      <c r="D57" s="17">
        <v>9</v>
      </c>
      <c r="E57" s="17" t="s">
        <v>233</v>
      </c>
      <c r="F57" s="17" t="s">
        <v>174</v>
      </c>
      <c r="G57" s="17" t="s">
        <v>249</v>
      </c>
      <c r="H57" s="17" t="s">
        <v>828</v>
      </c>
      <c r="I57" s="17">
        <v>5</v>
      </c>
      <c r="J57" s="18">
        <f t="shared" si="0"/>
        <v>0</v>
      </c>
      <c r="K57" s="18">
        <f t="shared" si="1"/>
        <v>1</v>
      </c>
      <c r="L57" s="20">
        <f>IF(H57="Shipped",'Capacity &amp; Cost Dashboard'!D27+'Capacity &amp; Cost Dashboard'!D28*D57*INDEX('Capacity &amp; Cost Dashboard'!$C$31:$C$38,MATCH(INDEX(Products!$C$2:$C$31,MATCH(C57,Products!$A$2:$A$31,0)),'Capacity &amp; Cost Dashboard'!$B$31:$B$38,0)),0)</f>
        <v>12.05</v>
      </c>
    </row>
    <row r="58" spans="1:12" ht="18" x14ac:dyDescent="0.2">
      <c r="A58" s="17">
        <v>648</v>
      </c>
      <c r="B58" s="17" t="s">
        <v>830</v>
      </c>
      <c r="C58" s="17" t="s">
        <v>130</v>
      </c>
      <c r="D58" s="17">
        <v>4</v>
      </c>
      <c r="E58" s="17" t="s">
        <v>173</v>
      </c>
      <c r="F58" s="17" t="s">
        <v>242</v>
      </c>
      <c r="G58" s="17" t="s">
        <v>243</v>
      </c>
      <c r="H58" s="17" t="s">
        <v>828</v>
      </c>
      <c r="I58" s="17">
        <v>4</v>
      </c>
      <c r="J58" s="18">
        <f t="shared" si="0"/>
        <v>0</v>
      </c>
      <c r="K58" s="18">
        <f t="shared" si="1"/>
        <v>1</v>
      </c>
      <c r="L58" s="20">
        <f>IF(H58="Shipped",'Capacity &amp; Cost Dashboard'!D27+'Capacity &amp; Cost Dashboard'!D28*D58*INDEX('Capacity &amp; Cost Dashboard'!$C$31:$C$38,MATCH(INDEX(Products!$C$2:$C$31,MATCH(C58,Products!$A$2:$A$31,0)),'Capacity &amp; Cost Dashboard'!$B$31:$B$38,0)),0)</f>
        <v>11.6</v>
      </c>
    </row>
    <row r="59" spans="1:12" ht="18" x14ac:dyDescent="0.2">
      <c r="A59" s="17">
        <v>649</v>
      </c>
      <c r="B59" s="17" t="s">
        <v>842</v>
      </c>
      <c r="C59" s="17" t="s">
        <v>161</v>
      </c>
      <c r="D59" s="17">
        <v>1</v>
      </c>
      <c r="E59" s="17" t="s">
        <v>243</v>
      </c>
      <c r="F59" s="17" t="s">
        <v>249</v>
      </c>
      <c r="G59" s="17" t="s">
        <v>232</v>
      </c>
      <c r="H59" s="17" t="s">
        <v>828</v>
      </c>
      <c r="I59" s="17">
        <v>4</v>
      </c>
      <c r="J59" s="18">
        <f t="shared" si="0"/>
        <v>0</v>
      </c>
      <c r="K59" s="18">
        <f t="shared" si="1"/>
        <v>1</v>
      </c>
      <c r="L59" s="20">
        <f>IF(H59="Shipped",'Capacity &amp; Cost Dashboard'!D27+'Capacity &amp; Cost Dashboard'!D28*D59*INDEX('Capacity &amp; Cost Dashboard'!$C$31:$C$38,MATCH(INDEX(Products!$C$2:$C$31,MATCH(C59,Products!$A$2:$A$31,0)),'Capacity &amp; Cost Dashboard'!$B$31:$B$38,0)),0)</f>
        <v>9.35</v>
      </c>
    </row>
    <row r="60" spans="1:12" ht="18" x14ac:dyDescent="0.2">
      <c r="A60" s="17">
        <v>650</v>
      </c>
      <c r="B60" s="17" t="s">
        <v>852</v>
      </c>
      <c r="C60" s="17" t="s">
        <v>116</v>
      </c>
      <c r="D60" s="17">
        <v>4</v>
      </c>
      <c r="E60" s="17" t="s">
        <v>243</v>
      </c>
      <c r="F60" s="17" t="s">
        <v>232</v>
      </c>
      <c r="G60" s="17" t="s">
        <v>264</v>
      </c>
      <c r="H60" s="17" t="s">
        <v>828</v>
      </c>
      <c r="I60" s="17">
        <v>2</v>
      </c>
      <c r="J60" s="18">
        <f t="shared" si="0"/>
        <v>1</v>
      </c>
      <c r="K60" s="18">
        <f t="shared" si="1"/>
        <v>1</v>
      </c>
      <c r="L60" s="20">
        <f>IF(H60="Shipped",'Capacity &amp; Cost Dashboard'!D27+'Capacity &amp; Cost Dashboard'!D28*D60*INDEX('Capacity &amp; Cost Dashboard'!$C$31:$C$38,MATCH(INDEX(Products!$C$2:$C$31,MATCH(C60,Products!$A$2:$A$31,0)),'Capacity &amp; Cost Dashboard'!$B$31:$B$38,0)),0)</f>
        <v>11.6</v>
      </c>
    </row>
    <row r="61" spans="1:12" ht="18" x14ac:dyDescent="0.2">
      <c r="A61" s="17">
        <v>651</v>
      </c>
      <c r="B61" s="17" t="s">
        <v>839</v>
      </c>
      <c r="C61" s="17" t="s">
        <v>132</v>
      </c>
      <c r="D61" s="17">
        <v>9</v>
      </c>
      <c r="E61" s="17" t="s">
        <v>801</v>
      </c>
      <c r="F61" s="17" t="s">
        <v>249</v>
      </c>
      <c r="G61" s="17" t="s">
        <v>174</v>
      </c>
      <c r="H61" s="17" t="s">
        <v>828</v>
      </c>
      <c r="I61" s="17">
        <v>2</v>
      </c>
      <c r="J61" s="18">
        <f t="shared" si="0"/>
        <v>1</v>
      </c>
      <c r="K61" s="18">
        <f t="shared" si="1"/>
        <v>1</v>
      </c>
      <c r="L61" s="20">
        <f>IF(H61="Shipped",'Capacity &amp; Cost Dashboard'!D27+'Capacity &amp; Cost Dashboard'!D28*D61*INDEX('Capacity &amp; Cost Dashboard'!$C$31:$C$38,MATCH(INDEX(Products!$C$2:$C$31,MATCH(C61,Products!$A$2:$A$31,0)),'Capacity &amp; Cost Dashboard'!$B$31:$B$38,0)),0)</f>
        <v>16.100000000000001</v>
      </c>
    </row>
    <row r="62" spans="1:12" ht="18" x14ac:dyDescent="0.2">
      <c r="A62" s="17">
        <v>652</v>
      </c>
      <c r="B62" s="17" t="s">
        <v>834</v>
      </c>
      <c r="C62" s="17" t="s">
        <v>139</v>
      </c>
      <c r="D62" s="17">
        <v>3</v>
      </c>
      <c r="E62" s="17" t="s">
        <v>242</v>
      </c>
      <c r="F62" s="17" t="s">
        <v>249</v>
      </c>
      <c r="G62" s="17" t="s">
        <v>232</v>
      </c>
      <c r="H62" s="17" t="s">
        <v>828</v>
      </c>
      <c r="I62" s="17">
        <v>5</v>
      </c>
      <c r="J62" s="18">
        <f t="shared" si="0"/>
        <v>0</v>
      </c>
      <c r="K62" s="18">
        <f t="shared" si="1"/>
        <v>1</v>
      </c>
      <c r="L62" s="20">
        <f>IF(H62="Shipped",'Capacity &amp; Cost Dashboard'!D27+'Capacity &amp; Cost Dashboard'!D28*D62*INDEX('Capacity &amp; Cost Dashboard'!$C$31:$C$38,MATCH(INDEX(Products!$C$2:$C$31,MATCH(C62,Products!$A$2:$A$31,0)),'Capacity &amp; Cost Dashboard'!$B$31:$B$38,0)),0)</f>
        <v>8.4049999999999994</v>
      </c>
    </row>
    <row r="63" spans="1:12" ht="18" x14ac:dyDescent="0.2">
      <c r="A63" s="17">
        <v>653</v>
      </c>
      <c r="B63" s="17" t="s">
        <v>849</v>
      </c>
      <c r="C63" s="17" t="s">
        <v>134</v>
      </c>
      <c r="D63" s="17">
        <v>5</v>
      </c>
      <c r="E63" s="17" t="s">
        <v>173</v>
      </c>
      <c r="F63" s="17" t="s">
        <v>242</v>
      </c>
      <c r="G63" s="17" t="s">
        <v>232</v>
      </c>
      <c r="H63" s="17" t="s">
        <v>828</v>
      </c>
      <c r="I63" s="17">
        <v>2</v>
      </c>
      <c r="J63" s="18">
        <f t="shared" si="0"/>
        <v>1</v>
      </c>
      <c r="K63" s="18">
        <f t="shared" si="1"/>
        <v>1</v>
      </c>
      <c r="L63" s="20">
        <f>IF(H63="Shipped",'Capacity &amp; Cost Dashboard'!D27+'Capacity &amp; Cost Dashboard'!D28*D63*INDEX('Capacity &amp; Cost Dashboard'!$C$31:$C$38,MATCH(INDEX(Products!$C$2:$C$31,MATCH(C63,Products!$A$2:$A$31,0)),'Capacity &amp; Cost Dashboard'!$B$31:$B$38,0)),0)</f>
        <v>12.5</v>
      </c>
    </row>
    <row r="64" spans="1:12" ht="18" x14ac:dyDescent="0.2">
      <c r="A64" s="17">
        <v>654</v>
      </c>
      <c r="B64" s="17" t="s">
        <v>853</v>
      </c>
      <c r="C64" s="17" t="s">
        <v>113</v>
      </c>
      <c r="D64" s="17">
        <v>2</v>
      </c>
      <c r="E64" s="17" t="s">
        <v>173</v>
      </c>
      <c r="F64" s="17" t="s">
        <v>232</v>
      </c>
      <c r="G64" s="17" t="s">
        <v>264</v>
      </c>
      <c r="H64" s="17" t="s">
        <v>828</v>
      </c>
      <c r="I64" s="17">
        <v>2</v>
      </c>
      <c r="J64" s="18">
        <f t="shared" si="0"/>
        <v>1</v>
      </c>
      <c r="K64" s="18">
        <f t="shared" si="1"/>
        <v>1</v>
      </c>
      <c r="L64" s="20">
        <f>IF(H64="Shipped",'Capacity &amp; Cost Dashboard'!D27+'Capacity &amp; Cost Dashboard'!D28*D64*INDEX('Capacity &amp; Cost Dashboard'!$C$31:$C$38,MATCH(INDEX(Products!$C$2:$C$31,MATCH(C64,Products!$A$2:$A$31,0)),'Capacity &amp; Cost Dashboard'!$B$31:$B$38,0)),0)</f>
        <v>9.8000000000000007</v>
      </c>
    </row>
    <row r="65" spans="1:12" ht="18" x14ac:dyDescent="0.2">
      <c r="A65" s="17">
        <v>655</v>
      </c>
      <c r="B65" s="17" t="s">
        <v>841</v>
      </c>
      <c r="C65" s="17" t="s">
        <v>147</v>
      </c>
      <c r="D65" s="17">
        <v>24</v>
      </c>
      <c r="E65" s="17" t="s">
        <v>242</v>
      </c>
      <c r="F65" s="17" t="s">
        <v>280</v>
      </c>
      <c r="G65" s="17" t="s">
        <v>174</v>
      </c>
      <c r="H65" s="17" t="s">
        <v>828</v>
      </c>
      <c r="I65" s="17">
        <v>5</v>
      </c>
      <c r="J65" s="18">
        <f t="shared" si="0"/>
        <v>0</v>
      </c>
      <c r="K65" s="18">
        <f t="shared" si="1"/>
        <v>1</v>
      </c>
      <c r="L65" s="20">
        <f>IF(H65="Shipped",'Capacity &amp; Cost Dashboard'!D27+'Capacity &amp; Cost Dashboard'!D28*D65*INDEX('Capacity &amp; Cost Dashboard'!$C$31:$C$38,MATCH(INDEX(Products!$C$2:$C$31,MATCH(C65,Products!$A$2:$A$31,0)),'Capacity &amp; Cost Dashboard'!$B$31:$B$38,0)),0)</f>
        <v>11.24</v>
      </c>
    </row>
    <row r="66" spans="1:12" ht="18" x14ac:dyDescent="0.2">
      <c r="A66" s="17">
        <v>656</v>
      </c>
      <c r="B66" s="17" t="s">
        <v>854</v>
      </c>
      <c r="C66" s="17" t="s">
        <v>141</v>
      </c>
      <c r="D66" s="17">
        <v>5</v>
      </c>
      <c r="E66" s="17" t="s">
        <v>243</v>
      </c>
      <c r="F66" s="17" t="s">
        <v>174</v>
      </c>
      <c r="G66" s="17" t="s">
        <v>249</v>
      </c>
      <c r="H66" s="17" t="s">
        <v>828</v>
      </c>
      <c r="I66" s="17">
        <v>5</v>
      </c>
      <c r="J66" s="18">
        <f t="shared" ref="J66:J129" si="2">IF(H66="Shipped",IF(G66&gt;F66,1,0),"")</f>
        <v>0</v>
      </c>
      <c r="K66" s="18">
        <f t="shared" ref="K66:K129" si="3">INT((DATEVALUE(E66)-DATE(2026,4,6))/7)</f>
        <v>1</v>
      </c>
      <c r="L66" s="20">
        <f>IF(H66="Shipped",'Capacity &amp; Cost Dashboard'!D27+'Capacity &amp; Cost Dashboard'!D28*D66*INDEX('Capacity &amp; Cost Dashboard'!$C$31:$C$38,MATCH(INDEX(Products!$C$2:$C$31,MATCH(C66,Products!$A$2:$A$31,0)),'Capacity &amp; Cost Dashboard'!$B$31:$B$38,0)),0)</f>
        <v>8.6750000000000007</v>
      </c>
    </row>
    <row r="67" spans="1:12" ht="18" x14ac:dyDescent="0.2">
      <c r="A67" s="17">
        <v>657</v>
      </c>
      <c r="B67" s="17" t="s">
        <v>840</v>
      </c>
      <c r="C67" s="17" t="s">
        <v>161</v>
      </c>
      <c r="D67" s="17">
        <v>1</v>
      </c>
      <c r="E67" s="17" t="s">
        <v>801</v>
      </c>
      <c r="F67" s="17" t="s">
        <v>249</v>
      </c>
      <c r="G67" s="17" t="s">
        <v>249</v>
      </c>
      <c r="H67" s="17" t="s">
        <v>828</v>
      </c>
      <c r="I67" s="17">
        <v>4</v>
      </c>
      <c r="J67" s="18">
        <f t="shared" si="2"/>
        <v>0</v>
      </c>
      <c r="K67" s="18">
        <f t="shared" si="3"/>
        <v>1</v>
      </c>
      <c r="L67" s="20">
        <f>IF(H67="Shipped",'Capacity &amp; Cost Dashboard'!D27+'Capacity &amp; Cost Dashboard'!D28*D67*INDEX('Capacity &amp; Cost Dashboard'!$C$31:$C$38,MATCH(INDEX(Products!$C$2:$C$31,MATCH(C67,Products!$A$2:$A$31,0)),'Capacity &amp; Cost Dashboard'!$B$31:$B$38,0)),0)</f>
        <v>9.35</v>
      </c>
    </row>
    <row r="68" spans="1:12" ht="18" x14ac:dyDescent="0.2">
      <c r="A68" s="17">
        <v>658</v>
      </c>
      <c r="B68" s="17" t="s">
        <v>839</v>
      </c>
      <c r="C68" s="17" t="s">
        <v>139</v>
      </c>
      <c r="D68" s="17">
        <v>20</v>
      </c>
      <c r="E68" s="17" t="s">
        <v>801</v>
      </c>
      <c r="F68" s="17" t="s">
        <v>232</v>
      </c>
      <c r="G68" s="17" t="s">
        <v>233</v>
      </c>
      <c r="H68" s="17" t="s">
        <v>828</v>
      </c>
      <c r="I68" s="17">
        <v>5</v>
      </c>
      <c r="J68" s="18">
        <f t="shared" si="2"/>
        <v>0</v>
      </c>
      <c r="K68" s="18">
        <f t="shared" si="3"/>
        <v>1</v>
      </c>
      <c r="L68" s="20">
        <f>IF(H68="Shipped",'Capacity &amp; Cost Dashboard'!D27+'Capacity &amp; Cost Dashboard'!D28*D68*INDEX('Capacity &amp; Cost Dashboard'!$C$31:$C$38,MATCH(INDEX(Products!$C$2:$C$31,MATCH(C68,Products!$A$2:$A$31,0)),'Capacity &amp; Cost Dashboard'!$B$31:$B$38,0)),0)</f>
        <v>10.7</v>
      </c>
    </row>
    <row r="69" spans="1:12" ht="18" x14ac:dyDescent="0.2">
      <c r="A69" s="17">
        <v>659</v>
      </c>
      <c r="B69" s="17" t="s">
        <v>853</v>
      </c>
      <c r="C69" s="17" t="s">
        <v>147</v>
      </c>
      <c r="D69" s="17">
        <v>17</v>
      </c>
      <c r="E69" s="17" t="s">
        <v>173</v>
      </c>
      <c r="F69" s="17" t="s">
        <v>232</v>
      </c>
      <c r="G69" s="17" t="s">
        <v>249</v>
      </c>
      <c r="H69" s="17" t="s">
        <v>828</v>
      </c>
      <c r="I69" s="17">
        <v>2</v>
      </c>
      <c r="J69" s="18">
        <f t="shared" si="2"/>
        <v>1</v>
      </c>
      <c r="K69" s="18">
        <f t="shared" si="3"/>
        <v>1</v>
      </c>
      <c r="L69" s="20">
        <f>IF(H69="Shipped",'Capacity &amp; Cost Dashboard'!D27+'Capacity &amp; Cost Dashboard'!D28*D69*INDEX('Capacity &amp; Cost Dashboard'!$C$31:$C$38,MATCH(INDEX(Products!$C$2:$C$31,MATCH(C69,Products!$A$2:$A$31,0)),'Capacity &amp; Cost Dashboard'!$B$31:$B$38,0)),0)</f>
        <v>10.295</v>
      </c>
    </row>
    <row r="70" spans="1:12" ht="18" x14ac:dyDescent="0.2">
      <c r="A70" s="17">
        <v>660</v>
      </c>
      <c r="B70" s="17" t="s">
        <v>855</v>
      </c>
      <c r="C70" s="17" t="s">
        <v>159</v>
      </c>
      <c r="D70" s="17">
        <v>6</v>
      </c>
      <c r="E70" s="17" t="s">
        <v>242</v>
      </c>
      <c r="F70" s="17" t="s">
        <v>280</v>
      </c>
      <c r="G70" s="17" t="s">
        <v>174</v>
      </c>
      <c r="H70" s="17" t="s">
        <v>828</v>
      </c>
      <c r="I70" s="17">
        <v>5</v>
      </c>
      <c r="J70" s="18">
        <f t="shared" si="2"/>
        <v>0</v>
      </c>
      <c r="K70" s="18">
        <f t="shared" si="3"/>
        <v>1</v>
      </c>
      <c r="L70" s="20">
        <f>IF(H70="Shipped",'Capacity &amp; Cost Dashboard'!D27+'Capacity &amp; Cost Dashboard'!D28*D70*INDEX('Capacity &amp; Cost Dashboard'!$C$31:$C$38,MATCH(INDEX(Products!$C$2:$C$31,MATCH(C70,Products!$A$2:$A$31,0)),'Capacity &amp; Cost Dashboard'!$B$31:$B$38,0)),0)</f>
        <v>16.100000000000001</v>
      </c>
    </row>
    <row r="71" spans="1:12" ht="18" x14ac:dyDescent="0.2">
      <c r="A71" s="17">
        <v>661</v>
      </c>
      <c r="B71" s="17" t="s">
        <v>849</v>
      </c>
      <c r="C71" s="17" t="s">
        <v>139</v>
      </c>
      <c r="D71" s="17">
        <v>18</v>
      </c>
      <c r="E71" s="17" t="s">
        <v>173</v>
      </c>
      <c r="F71" s="17" t="s">
        <v>232</v>
      </c>
      <c r="G71" s="17" t="s">
        <v>232</v>
      </c>
      <c r="H71" s="17" t="s">
        <v>828</v>
      </c>
      <c r="I71" s="17">
        <v>4</v>
      </c>
      <c r="J71" s="18">
        <f t="shared" si="2"/>
        <v>0</v>
      </c>
      <c r="K71" s="18">
        <f t="shared" si="3"/>
        <v>1</v>
      </c>
      <c r="L71" s="20">
        <f>IF(H71="Shipped",'Capacity &amp; Cost Dashboard'!D27+'Capacity &amp; Cost Dashboard'!D28*D71*INDEX('Capacity &amp; Cost Dashboard'!$C$31:$C$38,MATCH(INDEX(Products!$C$2:$C$31,MATCH(C71,Products!$A$2:$A$31,0)),'Capacity &amp; Cost Dashboard'!$B$31:$B$38,0)),0)</f>
        <v>10.43</v>
      </c>
    </row>
    <row r="72" spans="1:12" ht="18" x14ac:dyDescent="0.2">
      <c r="A72" s="17">
        <v>662</v>
      </c>
      <c r="B72" s="17" t="s">
        <v>847</v>
      </c>
      <c r="C72" s="17" t="s">
        <v>113</v>
      </c>
      <c r="D72" s="17">
        <v>8</v>
      </c>
      <c r="E72" s="17" t="s">
        <v>242</v>
      </c>
      <c r="F72" s="17" t="s">
        <v>280</v>
      </c>
      <c r="G72" s="17" t="s">
        <v>280</v>
      </c>
      <c r="H72" s="17" t="s">
        <v>828</v>
      </c>
      <c r="I72" s="17">
        <v>5</v>
      </c>
      <c r="J72" s="18">
        <f t="shared" si="2"/>
        <v>0</v>
      </c>
      <c r="K72" s="18">
        <f t="shared" si="3"/>
        <v>1</v>
      </c>
      <c r="L72" s="20">
        <f>IF(H72="Shipped",'Capacity &amp; Cost Dashboard'!D27+'Capacity &amp; Cost Dashboard'!D28*D72*INDEX('Capacity &amp; Cost Dashboard'!$C$31:$C$38,MATCH(INDEX(Products!$C$2:$C$31,MATCH(C72,Products!$A$2:$A$31,0)),'Capacity &amp; Cost Dashboard'!$B$31:$B$38,0)),0)</f>
        <v>15.2</v>
      </c>
    </row>
    <row r="73" spans="1:12" ht="18" x14ac:dyDescent="0.2">
      <c r="A73" s="17">
        <v>663</v>
      </c>
      <c r="B73" s="17" t="s">
        <v>832</v>
      </c>
      <c r="C73" s="17" t="s">
        <v>136</v>
      </c>
      <c r="D73" s="17">
        <v>6</v>
      </c>
      <c r="E73" s="17" t="s">
        <v>801</v>
      </c>
      <c r="F73" s="17" t="s">
        <v>249</v>
      </c>
      <c r="G73" s="17" t="s">
        <v>249</v>
      </c>
      <c r="H73" s="17" t="s">
        <v>828</v>
      </c>
      <c r="I73" s="17">
        <v>4</v>
      </c>
      <c r="J73" s="18">
        <f t="shared" si="2"/>
        <v>0</v>
      </c>
      <c r="K73" s="18">
        <f t="shared" si="3"/>
        <v>1</v>
      </c>
      <c r="L73" s="20">
        <f>IF(H73="Shipped",'Capacity &amp; Cost Dashboard'!D27+'Capacity &amp; Cost Dashboard'!D28*D73*INDEX('Capacity &amp; Cost Dashboard'!$C$31:$C$38,MATCH(INDEX(Products!$C$2:$C$31,MATCH(C73,Products!$A$2:$A$31,0)),'Capacity &amp; Cost Dashboard'!$B$31:$B$38,0)),0)</f>
        <v>8.81</v>
      </c>
    </row>
    <row r="74" spans="1:12" ht="18" x14ac:dyDescent="0.2">
      <c r="A74" s="17">
        <v>664</v>
      </c>
      <c r="B74" s="17" t="s">
        <v>836</v>
      </c>
      <c r="C74" s="17" t="s">
        <v>118</v>
      </c>
      <c r="D74" s="17">
        <v>4</v>
      </c>
      <c r="E74" s="17" t="s">
        <v>801</v>
      </c>
      <c r="F74" s="17" t="s">
        <v>233</v>
      </c>
      <c r="G74" s="17" t="s">
        <v>280</v>
      </c>
      <c r="H74" s="17" t="s">
        <v>828</v>
      </c>
      <c r="I74" s="17">
        <v>4</v>
      </c>
      <c r="J74" s="18">
        <f t="shared" si="2"/>
        <v>1</v>
      </c>
      <c r="K74" s="18">
        <f t="shared" si="3"/>
        <v>1</v>
      </c>
      <c r="L74" s="20">
        <f>IF(H74="Shipped",'Capacity &amp; Cost Dashboard'!D27+'Capacity &amp; Cost Dashboard'!D28*D74*INDEX('Capacity &amp; Cost Dashboard'!$C$31:$C$38,MATCH(INDEX(Products!$C$2:$C$31,MATCH(C74,Products!$A$2:$A$31,0)),'Capacity &amp; Cost Dashboard'!$B$31:$B$38,0)),0)</f>
        <v>11.6</v>
      </c>
    </row>
    <row r="75" spans="1:12" ht="18" x14ac:dyDescent="0.2">
      <c r="A75" s="17">
        <v>665</v>
      </c>
      <c r="B75" s="17" t="s">
        <v>854</v>
      </c>
      <c r="C75" s="17" t="s">
        <v>116</v>
      </c>
      <c r="D75" s="17">
        <v>3</v>
      </c>
      <c r="E75" s="17" t="s">
        <v>801</v>
      </c>
      <c r="F75" s="17" t="s">
        <v>249</v>
      </c>
      <c r="G75" s="17" t="s">
        <v>232</v>
      </c>
      <c r="H75" s="17" t="s">
        <v>828</v>
      </c>
      <c r="I75" s="17">
        <v>4</v>
      </c>
      <c r="J75" s="18">
        <f t="shared" si="2"/>
        <v>0</v>
      </c>
      <c r="K75" s="18">
        <f t="shared" si="3"/>
        <v>1</v>
      </c>
      <c r="L75" s="20">
        <f>IF(H75="Shipped",'Capacity &amp; Cost Dashboard'!D27+'Capacity &amp; Cost Dashboard'!D28*D75*INDEX('Capacity &amp; Cost Dashboard'!$C$31:$C$38,MATCH(INDEX(Products!$C$2:$C$31,MATCH(C75,Products!$A$2:$A$31,0)),'Capacity &amp; Cost Dashboard'!$B$31:$B$38,0)),0)</f>
        <v>10.7</v>
      </c>
    </row>
    <row r="76" spans="1:12" ht="18" x14ac:dyDescent="0.2">
      <c r="A76" s="17">
        <v>666</v>
      </c>
      <c r="B76" s="17" t="s">
        <v>848</v>
      </c>
      <c r="C76" s="17" t="s">
        <v>107</v>
      </c>
      <c r="D76" s="17">
        <v>7</v>
      </c>
      <c r="E76" s="17" t="s">
        <v>242</v>
      </c>
      <c r="F76" s="17" t="s">
        <v>249</v>
      </c>
      <c r="G76" s="17" t="s">
        <v>236</v>
      </c>
      <c r="H76" s="17" t="s">
        <v>828</v>
      </c>
      <c r="I76" s="17">
        <v>2</v>
      </c>
      <c r="J76" s="18">
        <f t="shared" si="2"/>
        <v>1</v>
      </c>
      <c r="K76" s="18">
        <f t="shared" si="3"/>
        <v>1</v>
      </c>
      <c r="L76" s="20">
        <f>IF(H76="Shipped",'Capacity &amp; Cost Dashboard'!D27+'Capacity &amp; Cost Dashboard'!D28*D76*INDEX('Capacity &amp; Cost Dashboard'!$C$31:$C$38,MATCH(INDEX(Products!$C$2:$C$31,MATCH(C76,Products!$A$2:$A$31,0)),'Capacity &amp; Cost Dashboard'!$B$31:$B$38,0)),0)</f>
        <v>23.75</v>
      </c>
    </row>
    <row r="77" spans="1:12" ht="18" x14ac:dyDescent="0.2">
      <c r="A77" s="17">
        <v>667</v>
      </c>
      <c r="B77" s="17" t="s">
        <v>841</v>
      </c>
      <c r="C77" s="17" t="s">
        <v>147</v>
      </c>
      <c r="D77" s="17">
        <v>11</v>
      </c>
      <c r="E77" s="17" t="s">
        <v>243</v>
      </c>
      <c r="F77" s="17" t="s">
        <v>232</v>
      </c>
      <c r="G77" s="17" t="s">
        <v>239</v>
      </c>
      <c r="H77" s="17" t="s">
        <v>828</v>
      </c>
      <c r="I77" s="17">
        <v>4</v>
      </c>
      <c r="J77" s="18">
        <f t="shared" si="2"/>
        <v>1</v>
      </c>
      <c r="K77" s="18">
        <f t="shared" si="3"/>
        <v>1</v>
      </c>
      <c r="L77" s="20">
        <f>IF(H77="Shipped",'Capacity &amp; Cost Dashboard'!D27+'Capacity &amp; Cost Dashboard'!D28*D77*INDEX('Capacity &amp; Cost Dashboard'!$C$31:$C$38,MATCH(INDEX(Products!$C$2:$C$31,MATCH(C77,Products!$A$2:$A$31,0)),'Capacity &amp; Cost Dashboard'!$B$31:$B$38,0)),0)</f>
        <v>9.4849999999999994</v>
      </c>
    </row>
    <row r="78" spans="1:12" ht="18" x14ac:dyDescent="0.2">
      <c r="A78" s="17">
        <v>668</v>
      </c>
      <c r="B78" s="17" t="s">
        <v>856</v>
      </c>
      <c r="C78" s="17" t="s">
        <v>130</v>
      </c>
      <c r="D78" s="17">
        <v>7</v>
      </c>
      <c r="E78" s="17" t="s">
        <v>801</v>
      </c>
      <c r="F78" s="17" t="s">
        <v>249</v>
      </c>
      <c r="G78" s="17" t="s">
        <v>249</v>
      </c>
      <c r="H78" s="17" t="s">
        <v>828</v>
      </c>
      <c r="I78" s="17">
        <v>5</v>
      </c>
      <c r="J78" s="18">
        <f t="shared" si="2"/>
        <v>0</v>
      </c>
      <c r="K78" s="18">
        <f t="shared" si="3"/>
        <v>1</v>
      </c>
      <c r="L78" s="20">
        <f>IF(H78="Shipped",'Capacity &amp; Cost Dashboard'!D27+'Capacity &amp; Cost Dashboard'!D28*D78*INDEX('Capacity &amp; Cost Dashboard'!$C$31:$C$38,MATCH(INDEX(Products!$C$2:$C$31,MATCH(C78,Products!$A$2:$A$31,0)),'Capacity &amp; Cost Dashboard'!$B$31:$B$38,0)),0)</f>
        <v>14.3</v>
      </c>
    </row>
    <row r="79" spans="1:12" ht="18" x14ac:dyDescent="0.2">
      <c r="A79" s="17">
        <v>669</v>
      </c>
      <c r="B79" s="17" t="s">
        <v>841</v>
      </c>
      <c r="C79" s="17" t="s">
        <v>149</v>
      </c>
      <c r="D79" s="17">
        <v>9</v>
      </c>
      <c r="E79" s="17" t="s">
        <v>243</v>
      </c>
      <c r="F79" s="17" t="s">
        <v>174</v>
      </c>
      <c r="G79" s="17" t="s">
        <v>249</v>
      </c>
      <c r="H79" s="17" t="s">
        <v>828</v>
      </c>
      <c r="I79" s="17">
        <v>5</v>
      </c>
      <c r="J79" s="18">
        <f t="shared" si="2"/>
        <v>0</v>
      </c>
      <c r="K79" s="18">
        <f t="shared" si="3"/>
        <v>1</v>
      </c>
      <c r="L79" s="20">
        <f>IF(H79="Shipped",'Capacity &amp; Cost Dashboard'!D27+'Capacity &amp; Cost Dashboard'!D28*D79*INDEX('Capacity &amp; Cost Dashboard'!$C$31:$C$38,MATCH(INDEX(Products!$C$2:$C$31,MATCH(C79,Products!$A$2:$A$31,0)),'Capacity &amp; Cost Dashboard'!$B$31:$B$38,0)),0)</f>
        <v>14.074999999999999</v>
      </c>
    </row>
    <row r="80" spans="1:12" ht="18" x14ac:dyDescent="0.2">
      <c r="A80" s="17">
        <v>670</v>
      </c>
      <c r="B80" s="17" t="s">
        <v>857</v>
      </c>
      <c r="C80" s="17" t="s">
        <v>116</v>
      </c>
      <c r="D80" s="17">
        <v>3</v>
      </c>
      <c r="E80" s="17" t="s">
        <v>801</v>
      </c>
      <c r="F80" s="17" t="s">
        <v>249</v>
      </c>
      <c r="G80" s="17" t="s">
        <v>249</v>
      </c>
      <c r="H80" s="17" t="s">
        <v>828</v>
      </c>
      <c r="I80" s="17">
        <v>5</v>
      </c>
      <c r="J80" s="18">
        <f t="shared" si="2"/>
        <v>0</v>
      </c>
      <c r="K80" s="18">
        <f t="shared" si="3"/>
        <v>1</v>
      </c>
      <c r="L80" s="20">
        <f>IF(H80="Shipped",'Capacity &amp; Cost Dashboard'!D27+'Capacity &amp; Cost Dashboard'!D28*D80*INDEX('Capacity &amp; Cost Dashboard'!$C$31:$C$38,MATCH(INDEX(Products!$C$2:$C$31,MATCH(C80,Products!$A$2:$A$31,0)),'Capacity &amp; Cost Dashboard'!$B$31:$B$38,0)),0)</f>
        <v>10.7</v>
      </c>
    </row>
    <row r="81" spans="1:12" ht="18" x14ac:dyDescent="0.2">
      <c r="A81" s="17">
        <v>671</v>
      </c>
      <c r="B81" s="17" t="s">
        <v>853</v>
      </c>
      <c r="C81" s="17" t="s">
        <v>132</v>
      </c>
      <c r="D81" s="17">
        <v>3</v>
      </c>
      <c r="E81" s="17" t="s">
        <v>801</v>
      </c>
      <c r="F81" s="17" t="s">
        <v>249</v>
      </c>
      <c r="G81" s="17" t="s">
        <v>249</v>
      </c>
      <c r="H81" s="17" t="s">
        <v>828</v>
      </c>
      <c r="I81" s="17">
        <v>5</v>
      </c>
      <c r="J81" s="18">
        <f t="shared" si="2"/>
        <v>0</v>
      </c>
      <c r="K81" s="18">
        <f t="shared" si="3"/>
        <v>1</v>
      </c>
      <c r="L81" s="20">
        <f>IF(H81="Shipped",'Capacity &amp; Cost Dashboard'!D27+'Capacity &amp; Cost Dashboard'!D28*D81*INDEX('Capacity &amp; Cost Dashboard'!$C$31:$C$38,MATCH(INDEX(Products!$C$2:$C$31,MATCH(C81,Products!$A$2:$A$31,0)),'Capacity &amp; Cost Dashboard'!$B$31:$B$38,0)),0)</f>
        <v>10.7</v>
      </c>
    </row>
    <row r="82" spans="1:12" ht="18" x14ac:dyDescent="0.2">
      <c r="A82" s="17">
        <v>672</v>
      </c>
      <c r="B82" s="17" t="s">
        <v>830</v>
      </c>
      <c r="C82" s="17" t="s">
        <v>147</v>
      </c>
      <c r="D82" s="17">
        <v>26</v>
      </c>
      <c r="E82" s="17" t="s">
        <v>233</v>
      </c>
      <c r="F82" s="17" t="s">
        <v>174</v>
      </c>
      <c r="G82" s="17" t="s">
        <v>280</v>
      </c>
      <c r="H82" s="17" t="s">
        <v>828</v>
      </c>
      <c r="I82" s="17">
        <v>3</v>
      </c>
      <c r="J82" s="18">
        <f t="shared" si="2"/>
        <v>1</v>
      </c>
      <c r="K82" s="18">
        <f t="shared" si="3"/>
        <v>1</v>
      </c>
      <c r="L82" s="20">
        <f>IF(H82="Shipped",'Capacity &amp; Cost Dashboard'!D27+'Capacity &amp; Cost Dashboard'!D28*D82*INDEX('Capacity &amp; Cost Dashboard'!$C$31:$C$38,MATCH(INDEX(Products!$C$2:$C$31,MATCH(C82,Products!$A$2:$A$31,0)),'Capacity &amp; Cost Dashboard'!$B$31:$B$38,0)),0)</f>
        <v>11.51</v>
      </c>
    </row>
    <row r="83" spans="1:12" ht="18" x14ac:dyDescent="0.2">
      <c r="A83" s="17">
        <v>673</v>
      </c>
      <c r="B83" s="17" t="s">
        <v>845</v>
      </c>
      <c r="C83" s="17" t="s">
        <v>100</v>
      </c>
      <c r="D83" s="17">
        <v>1</v>
      </c>
      <c r="E83" s="17" t="s">
        <v>801</v>
      </c>
      <c r="F83" s="17" t="s">
        <v>233</v>
      </c>
      <c r="G83" s="17" t="s">
        <v>242</v>
      </c>
      <c r="H83" s="17" t="s">
        <v>828</v>
      </c>
      <c r="I83" s="17">
        <v>4</v>
      </c>
      <c r="J83" s="18">
        <f t="shared" si="2"/>
        <v>0</v>
      </c>
      <c r="K83" s="18">
        <f t="shared" si="3"/>
        <v>1</v>
      </c>
      <c r="L83" s="20" t="e">
        <f>IF(H83="Shipped",'Capacity &amp; Cost Dashboard'!D27+'Capacity &amp; Cost Dashboard'!D28*D83*INDEX('Capacity &amp; Cost Dashboard'!$C$31:$C$38,MATCH(INDEX(Products!$C$2:$C$31,MATCH(C83,Products!$A$2:$A$31,0)),'Capacity &amp; Cost Dashboard'!$B$31:$B$38,0)),0)</f>
        <v>#N/A</v>
      </c>
    </row>
    <row r="84" spans="1:12" ht="18" x14ac:dyDescent="0.2">
      <c r="A84" s="17">
        <v>674</v>
      </c>
      <c r="B84" s="17" t="s">
        <v>834</v>
      </c>
      <c r="C84" s="17" t="s">
        <v>147</v>
      </c>
      <c r="D84" s="17">
        <v>17</v>
      </c>
      <c r="E84" s="17" t="s">
        <v>243</v>
      </c>
      <c r="F84" s="17" t="s">
        <v>249</v>
      </c>
      <c r="G84" s="17" t="s">
        <v>249</v>
      </c>
      <c r="H84" s="17" t="s">
        <v>828</v>
      </c>
      <c r="I84" s="17">
        <v>4</v>
      </c>
      <c r="J84" s="18">
        <f t="shared" si="2"/>
        <v>0</v>
      </c>
      <c r="K84" s="18">
        <f t="shared" si="3"/>
        <v>1</v>
      </c>
      <c r="L84" s="20">
        <f>IF(H84="Shipped",'Capacity &amp; Cost Dashboard'!D27+'Capacity &amp; Cost Dashboard'!D28*D84*INDEX('Capacity &amp; Cost Dashboard'!$C$31:$C$38,MATCH(INDEX(Products!$C$2:$C$31,MATCH(C84,Products!$A$2:$A$31,0)),'Capacity &amp; Cost Dashboard'!$B$31:$B$38,0)),0)</f>
        <v>10.295</v>
      </c>
    </row>
    <row r="85" spans="1:12" ht="18" x14ac:dyDescent="0.2">
      <c r="A85" s="17">
        <v>675</v>
      </c>
      <c r="B85" s="17" t="s">
        <v>845</v>
      </c>
      <c r="C85" s="17" t="s">
        <v>118</v>
      </c>
      <c r="D85" s="17">
        <v>1</v>
      </c>
      <c r="E85" s="17" t="s">
        <v>801</v>
      </c>
      <c r="F85" s="17" t="s">
        <v>249</v>
      </c>
      <c r="G85" s="17" t="s">
        <v>249</v>
      </c>
      <c r="H85" s="17" t="s">
        <v>828</v>
      </c>
      <c r="I85" s="17">
        <v>5</v>
      </c>
      <c r="J85" s="18">
        <f t="shared" si="2"/>
        <v>0</v>
      </c>
      <c r="K85" s="18">
        <f t="shared" si="3"/>
        <v>1</v>
      </c>
      <c r="L85" s="20">
        <f>IF(H85="Shipped",'Capacity &amp; Cost Dashboard'!D27+'Capacity &amp; Cost Dashboard'!D28*D85*INDEX('Capacity &amp; Cost Dashboard'!$C$31:$C$38,MATCH(INDEX(Products!$C$2:$C$31,MATCH(C85,Products!$A$2:$A$31,0)),'Capacity &amp; Cost Dashboard'!$B$31:$B$38,0)),0)</f>
        <v>8.9</v>
      </c>
    </row>
    <row r="86" spans="1:12" ht="18" x14ac:dyDescent="0.2">
      <c r="A86" s="17">
        <v>676</v>
      </c>
      <c r="B86" s="17" t="s">
        <v>856</v>
      </c>
      <c r="C86" s="17" t="s">
        <v>130</v>
      </c>
      <c r="D86" s="17">
        <v>9</v>
      </c>
      <c r="E86" s="17" t="s">
        <v>233</v>
      </c>
      <c r="F86" s="17" t="s">
        <v>264</v>
      </c>
      <c r="G86" s="17" t="s">
        <v>264</v>
      </c>
      <c r="H86" s="17" t="s">
        <v>828</v>
      </c>
      <c r="I86" s="17">
        <v>4</v>
      </c>
      <c r="J86" s="18">
        <f t="shared" si="2"/>
        <v>0</v>
      </c>
      <c r="K86" s="18">
        <f t="shared" si="3"/>
        <v>1</v>
      </c>
      <c r="L86" s="20">
        <f>IF(H86="Shipped",'Capacity &amp; Cost Dashboard'!D27+'Capacity &amp; Cost Dashboard'!D28*D86*INDEX('Capacity &amp; Cost Dashboard'!$C$31:$C$38,MATCH(INDEX(Products!$C$2:$C$31,MATCH(C86,Products!$A$2:$A$31,0)),'Capacity &amp; Cost Dashboard'!$B$31:$B$38,0)),0)</f>
        <v>16.100000000000001</v>
      </c>
    </row>
    <row r="87" spans="1:12" ht="18" x14ac:dyDescent="0.2">
      <c r="A87" s="17">
        <v>677</v>
      </c>
      <c r="B87" s="17" t="s">
        <v>830</v>
      </c>
      <c r="C87" s="17" t="s">
        <v>145</v>
      </c>
      <c r="D87" s="17">
        <v>18</v>
      </c>
      <c r="E87" s="17" t="s">
        <v>801</v>
      </c>
      <c r="F87" s="17" t="s">
        <v>232</v>
      </c>
      <c r="G87" s="17" t="s">
        <v>233</v>
      </c>
      <c r="H87" s="17" t="s">
        <v>828</v>
      </c>
      <c r="I87" s="17">
        <v>5</v>
      </c>
      <c r="J87" s="18">
        <f t="shared" si="2"/>
        <v>0</v>
      </c>
      <c r="K87" s="18">
        <f t="shared" si="3"/>
        <v>1</v>
      </c>
      <c r="L87" s="20">
        <f>IF(H87="Shipped",'Capacity &amp; Cost Dashboard'!D27+'Capacity &amp; Cost Dashboard'!D28*D87*INDEX('Capacity &amp; Cost Dashboard'!$C$31:$C$38,MATCH(INDEX(Products!$C$2:$C$31,MATCH(C87,Products!$A$2:$A$31,0)),'Capacity &amp; Cost Dashboard'!$B$31:$B$38,0)),0)</f>
        <v>10.43</v>
      </c>
    </row>
    <row r="88" spans="1:12" ht="18" x14ac:dyDescent="0.2">
      <c r="A88" s="17">
        <v>678</v>
      </c>
      <c r="B88" s="17" t="s">
        <v>833</v>
      </c>
      <c r="C88" s="17" t="s">
        <v>139</v>
      </c>
      <c r="D88" s="17">
        <v>12</v>
      </c>
      <c r="E88" s="17" t="s">
        <v>233</v>
      </c>
      <c r="F88" s="17" t="s">
        <v>280</v>
      </c>
      <c r="G88" s="17" t="s">
        <v>174</v>
      </c>
      <c r="H88" s="17" t="s">
        <v>828</v>
      </c>
      <c r="I88" s="17">
        <v>4</v>
      </c>
      <c r="J88" s="18">
        <f t="shared" si="2"/>
        <v>0</v>
      </c>
      <c r="K88" s="18">
        <f t="shared" si="3"/>
        <v>1</v>
      </c>
      <c r="L88" s="20">
        <f>IF(H88="Shipped",'Capacity &amp; Cost Dashboard'!D27+'Capacity &amp; Cost Dashboard'!D28*D88*INDEX('Capacity &amp; Cost Dashboard'!$C$31:$C$38,MATCH(INDEX(Products!$C$2:$C$31,MATCH(C88,Products!$A$2:$A$31,0)),'Capacity &amp; Cost Dashboard'!$B$31:$B$38,0)),0)</f>
        <v>9.620000000000001</v>
      </c>
    </row>
    <row r="89" spans="1:12" ht="18" x14ac:dyDescent="0.2">
      <c r="A89" s="17">
        <v>679</v>
      </c>
      <c r="B89" s="17" t="s">
        <v>853</v>
      </c>
      <c r="C89" s="17" t="s">
        <v>136</v>
      </c>
      <c r="D89" s="17">
        <v>23</v>
      </c>
      <c r="E89" s="17" t="s">
        <v>801</v>
      </c>
      <c r="F89" s="17" t="s">
        <v>232</v>
      </c>
      <c r="G89" s="17" t="s">
        <v>232</v>
      </c>
      <c r="H89" s="17" t="s">
        <v>828</v>
      </c>
      <c r="I89" s="17">
        <v>5</v>
      </c>
      <c r="J89" s="18">
        <f t="shared" si="2"/>
        <v>0</v>
      </c>
      <c r="K89" s="18">
        <f t="shared" si="3"/>
        <v>1</v>
      </c>
      <c r="L89" s="20">
        <f>IF(H89="Shipped",'Capacity &amp; Cost Dashboard'!D27+'Capacity &amp; Cost Dashboard'!D28*D89*INDEX('Capacity &amp; Cost Dashboard'!$C$31:$C$38,MATCH(INDEX(Products!$C$2:$C$31,MATCH(C89,Products!$A$2:$A$31,0)),'Capacity &amp; Cost Dashboard'!$B$31:$B$38,0)),0)</f>
        <v>11.105</v>
      </c>
    </row>
    <row r="90" spans="1:12" ht="18" x14ac:dyDescent="0.2">
      <c r="A90" s="17">
        <v>680</v>
      </c>
      <c r="B90" s="17" t="s">
        <v>851</v>
      </c>
      <c r="C90" s="17" t="s">
        <v>134</v>
      </c>
      <c r="D90" s="17">
        <v>10</v>
      </c>
      <c r="E90" s="17" t="s">
        <v>243</v>
      </c>
      <c r="F90" s="17" t="s">
        <v>249</v>
      </c>
      <c r="G90" s="17" t="s">
        <v>249</v>
      </c>
      <c r="H90" s="17" t="s">
        <v>828</v>
      </c>
      <c r="I90" s="17">
        <v>5</v>
      </c>
      <c r="J90" s="18">
        <f t="shared" si="2"/>
        <v>0</v>
      </c>
      <c r="K90" s="18">
        <f t="shared" si="3"/>
        <v>1</v>
      </c>
      <c r="L90" s="20">
        <f>IF(H90="Shipped",'Capacity &amp; Cost Dashboard'!D27+'Capacity &amp; Cost Dashboard'!D28*D90*INDEX('Capacity &amp; Cost Dashboard'!$C$31:$C$38,MATCH(INDEX(Products!$C$2:$C$31,MATCH(C90,Products!$A$2:$A$31,0)),'Capacity &amp; Cost Dashboard'!$B$31:$B$38,0)),0)</f>
        <v>17</v>
      </c>
    </row>
    <row r="91" spans="1:12" ht="18" x14ac:dyDescent="0.2">
      <c r="A91" s="17">
        <v>681</v>
      </c>
      <c r="B91" s="17" t="s">
        <v>839</v>
      </c>
      <c r="C91" s="17" t="s">
        <v>98</v>
      </c>
      <c r="D91" s="17">
        <v>43</v>
      </c>
      <c r="E91" s="17" t="s">
        <v>243</v>
      </c>
      <c r="F91" s="17" t="s">
        <v>174</v>
      </c>
      <c r="G91" s="17" t="s">
        <v>174</v>
      </c>
      <c r="H91" s="17" t="s">
        <v>828</v>
      </c>
      <c r="I91" s="17">
        <v>4</v>
      </c>
      <c r="J91" s="18">
        <f t="shared" si="2"/>
        <v>0</v>
      </c>
      <c r="K91" s="18">
        <f t="shared" si="3"/>
        <v>1</v>
      </c>
      <c r="L91" s="20" t="e">
        <f>IF(H91="Shipped",'Capacity &amp; Cost Dashboard'!D27+'Capacity &amp; Cost Dashboard'!D28*D91*INDEX('Capacity &amp; Cost Dashboard'!$C$31:$C$38,MATCH(INDEX(Products!$C$2:$C$31,MATCH(C91,Products!$A$2:$A$31,0)),'Capacity &amp; Cost Dashboard'!$B$31:$B$38,0)),0)</f>
        <v>#N/A</v>
      </c>
    </row>
    <row r="92" spans="1:12" ht="18" x14ac:dyDescent="0.2">
      <c r="A92" s="17">
        <v>682</v>
      </c>
      <c r="B92" s="17" t="s">
        <v>844</v>
      </c>
      <c r="C92" s="17" t="s">
        <v>100</v>
      </c>
      <c r="D92" s="17">
        <v>31</v>
      </c>
      <c r="E92" s="17" t="s">
        <v>242</v>
      </c>
      <c r="F92" s="17" t="s">
        <v>280</v>
      </c>
      <c r="G92" s="17" t="s">
        <v>174</v>
      </c>
      <c r="H92" s="17" t="s">
        <v>828</v>
      </c>
      <c r="I92" s="17">
        <v>5</v>
      </c>
      <c r="J92" s="18">
        <f t="shared" si="2"/>
        <v>0</v>
      </c>
      <c r="K92" s="18">
        <f t="shared" si="3"/>
        <v>1</v>
      </c>
      <c r="L92" s="20" t="e">
        <f>IF(H92="Shipped",'Capacity &amp; Cost Dashboard'!D27+'Capacity &amp; Cost Dashboard'!D28*D92*INDEX('Capacity &amp; Cost Dashboard'!$C$31:$C$38,MATCH(INDEX(Products!$C$2:$C$31,MATCH(C92,Products!$A$2:$A$31,0)),'Capacity &amp; Cost Dashboard'!$B$31:$B$38,0)),0)</f>
        <v>#N/A</v>
      </c>
    </row>
    <row r="93" spans="1:12" ht="18" x14ac:dyDescent="0.2">
      <c r="A93" s="17">
        <v>683</v>
      </c>
      <c r="B93" s="17" t="s">
        <v>844</v>
      </c>
      <c r="C93" s="17" t="s">
        <v>154</v>
      </c>
      <c r="D93" s="17">
        <v>4</v>
      </c>
      <c r="E93" s="17" t="s">
        <v>243</v>
      </c>
      <c r="F93" s="17" t="s">
        <v>232</v>
      </c>
      <c r="G93" s="17" t="s">
        <v>233</v>
      </c>
      <c r="H93" s="17" t="s">
        <v>828</v>
      </c>
      <c r="I93" s="17">
        <v>4</v>
      </c>
      <c r="J93" s="18">
        <f t="shared" si="2"/>
        <v>0</v>
      </c>
      <c r="K93" s="18">
        <f t="shared" si="3"/>
        <v>1</v>
      </c>
      <c r="L93" s="20">
        <f>IF(H93="Shipped",'Capacity &amp; Cost Dashboard'!D27+'Capacity &amp; Cost Dashboard'!D28*D93*INDEX('Capacity &amp; Cost Dashboard'!$C$31:$C$38,MATCH(INDEX(Products!$C$2:$C$31,MATCH(C93,Products!$A$2:$A$31,0)),'Capacity &amp; Cost Dashboard'!$B$31:$B$38,0)),0)</f>
        <v>10.7</v>
      </c>
    </row>
    <row r="94" spans="1:12" ht="18" x14ac:dyDescent="0.2">
      <c r="A94" s="17">
        <v>684</v>
      </c>
      <c r="B94" s="17" t="s">
        <v>856</v>
      </c>
      <c r="C94" s="17" t="s">
        <v>143</v>
      </c>
      <c r="D94" s="17">
        <v>7</v>
      </c>
      <c r="E94" s="17" t="s">
        <v>173</v>
      </c>
      <c r="F94" s="17" t="s">
        <v>232</v>
      </c>
      <c r="G94" s="17" t="s">
        <v>232</v>
      </c>
      <c r="H94" s="17" t="s">
        <v>828</v>
      </c>
      <c r="I94" s="17">
        <v>5</v>
      </c>
      <c r="J94" s="18">
        <f t="shared" si="2"/>
        <v>0</v>
      </c>
      <c r="K94" s="18">
        <f t="shared" si="3"/>
        <v>1</v>
      </c>
      <c r="L94" s="20">
        <f>IF(H94="Shipped",'Capacity &amp; Cost Dashboard'!D27+'Capacity &amp; Cost Dashboard'!D28*D94*INDEX('Capacity &amp; Cost Dashboard'!$C$31:$C$38,MATCH(INDEX(Products!$C$2:$C$31,MATCH(C94,Products!$A$2:$A$31,0)),'Capacity &amp; Cost Dashboard'!$B$31:$B$38,0)),0)</f>
        <v>8.9450000000000003</v>
      </c>
    </row>
    <row r="95" spans="1:12" ht="18" x14ac:dyDescent="0.2">
      <c r="A95" s="17">
        <v>685</v>
      </c>
      <c r="B95" s="17" t="s">
        <v>853</v>
      </c>
      <c r="C95" s="17" t="s">
        <v>143</v>
      </c>
      <c r="D95" s="17">
        <v>19</v>
      </c>
      <c r="E95" s="17" t="s">
        <v>243</v>
      </c>
      <c r="F95" s="17" t="s">
        <v>174</v>
      </c>
      <c r="G95" s="17" t="s">
        <v>174</v>
      </c>
      <c r="H95" s="17" t="s">
        <v>828</v>
      </c>
      <c r="I95" s="17">
        <v>5</v>
      </c>
      <c r="J95" s="18">
        <f t="shared" si="2"/>
        <v>0</v>
      </c>
      <c r="K95" s="18">
        <f t="shared" si="3"/>
        <v>1</v>
      </c>
      <c r="L95" s="20">
        <f>IF(H95="Shipped",'Capacity &amp; Cost Dashboard'!D27+'Capacity &amp; Cost Dashboard'!D28*D95*INDEX('Capacity &amp; Cost Dashboard'!$C$31:$C$38,MATCH(INDEX(Products!$C$2:$C$31,MATCH(C95,Products!$A$2:$A$31,0)),'Capacity &amp; Cost Dashboard'!$B$31:$B$38,0)),0)</f>
        <v>10.565</v>
      </c>
    </row>
    <row r="96" spans="1:12" ht="18" x14ac:dyDescent="0.2">
      <c r="A96" s="17">
        <v>686</v>
      </c>
      <c r="B96" s="17" t="s">
        <v>848</v>
      </c>
      <c r="C96" s="17" t="s">
        <v>104</v>
      </c>
      <c r="D96" s="17">
        <v>5</v>
      </c>
      <c r="E96" s="17" t="s">
        <v>173</v>
      </c>
      <c r="F96" s="17" t="s">
        <v>232</v>
      </c>
      <c r="G96" s="17" t="s">
        <v>233</v>
      </c>
      <c r="H96" s="17" t="s">
        <v>828</v>
      </c>
      <c r="I96" s="17">
        <v>4</v>
      </c>
      <c r="J96" s="18">
        <f t="shared" si="2"/>
        <v>0</v>
      </c>
      <c r="K96" s="18">
        <f t="shared" si="3"/>
        <v>1</v>
      </c>
      <c r="L96" s="20">
        <f>IF(H96="Shipped",'Capacity &amp; Cost Dashboard'!D27+'Capacity &amp; Cost Dashboard'!D28*D96*INDEX('Capacity &amp; Cost Dashboard'!$C$31:$C$38,MATCH(INDEX(Products!$C$2:$C$31,MATCH(C96,Products!$A$2:$A$31,0)),'Capacity &amp; Cost Dashboard'!$B$31:$B$38,0)),0)</f>
        <v>19.25</v>
      </c>
    </row>
    <row r="97" spans="1:12" ht="18" x14ac:dyDescent="0.2">
      <c r="A97" s="17">
        <v>687</v>
      </c>
      <c r="B97" s="17" t="s">
        <v>831</v>
      </c>
      <c r="C97" s="17" t="s">
        <v>132</v>
      </c>
      <c r="D97" s="17">
        <v>18</v>
      </c>
      <c r="E97" s="17" t="s">
        <v>801</v>
      </c>
      <c r="F97" s="17" t="s">
        <v>249</v>
      </c>
      <c r="G97" s="17" t="s">
        <v>232</v>
      </c>
      <c r="H97" s="17" t="s">
        <v>828</v>
      </c>
      <c r="I97" s="17">
        <v>4</v>
      </c>
      <c r="J97" s="18">
        <f t="shared" si="2"/>
        <v>0</v>
      </c>
      <c r="K97" s="18">
        <f t="shared" si="3"/>
        <v>1</v>
      </c>
      <c r="L97" s="20">
        <f>IF(H97="Shipped",'Capacity &amp; Cost Dashboard'!D27+'Capacity &amp; Cost Dashboard'!D28*D97*INDEX('Capacity &amp; Cost Dashboard'!$C$31:$C$38,MATCH(INDEX(Products!$C$2:$C$31,MATCH(C97,Products!$A$2:$A$31,0)),'Capacity &amp; Cost Dashboard'!$B$31:$B$38,0)),0)</f>
        <v>24.2</v>
      </c>
    </row>
    <row r="98" spans="1:12" ht="18" x14ac:dyDescent="0.2">
      <c r="A98" s="17">
        <v>688</v>
      </c>
      <c r="B98" s="17" t="s">
        <v>843</v>
      </c>
      <c r="C98" s="17" t="s">
        <v>95</v>
      </c>
      <c r="D98" s="17">
        <v>32</v>
      </c>
      <c r="E98" s="17" t="s">
        <v>801</v>
      </c>
      <c r="F98" s="17" t="s">
        <v>249</v>
      </c>
      <c r="G98" s="17" t="s">
        <v>232</v>
      </c>
      <c r="H98" s="17" t="s">
        <v>828</v>
      </c>
      <c r="I98" s="17">
        <v>5</v>
      </c>
      <c r="J98" s="18">
        <f t="shared" si="2"/>
        <v>0</v>
      </c>
      <c r="K98" s="18">
        <f t="shared" si="3"/>
        <v>1</v>
      </c>
      <c r="L98" s="20" t="e">
        <f>IF(H98="Shipped",'Capacity &amp; Cost Dashboard'!D27+'Capacity &amp; Cost Dashboard'!D28*D98*INDEX('Capacity &amp; Cost Dashboard'!$C$31:$C$38,MATCH(INDEX(Products!$C$2:$C$31,MATCH(C98,Products!$A$2:$A$31,0)),'Capacity &amp; Cost Dashboard'!$B$31:$B$38,0)),0)</f>
        <v>#N/A</v>
      </c>
    </row>
    <row r="99" spans="1:12" ht="18" x14ac:dyDescent="0.2">
      <c r="A99" s="17">
        <v>689</v>
      </c>
      <c r="B99" s="17" t="s">
        <v>855</v>
      </c>
      <c r="C99" s="17" t="s">
        <v>132</v>
      </c>
      <c r="D99" s="17">
        <v>2</v>
      </c>
      <c r="E99" s="17" t="s">
        <v>280</v>
      </c>
      <c r="F99" s="17" t="s">
        <v>270</v>
      </c>
      <c r="G99" s="17" t="s">
        <v>270</v>
      </c>
      <c r="H99" s="17" t="s">
        <v>828</v>
      </c>
      <c r="I99" s="17">
        <v>5</v>
      </c>
      <c r="J99" s="18">
        <f t="shared" si="2"/>
        <v>0</v>
      </c>
      <c r="K99" s="18">
        <f t="shared" si="3"/>
        <v>2</v>
      </c>
      <c r="L99" s="20">
        <f>IF(H99="Shipped",'Capacity &amp; Cost Dashboard'!D27+'Capacity &amp; Cost Dashboard'!D28*D99*INDEX('Capacity &amp; Cost Dashboard'!$C$31:$C$38,MATCH(INDEX(Products!$C$2:$C$31,MATCH(C99,Products!$A$2:$A$31,0)),'Capacity &amp; Cost Dashboard'!$B$31:$B$38,0)),0)</f>
        <v>9.8000000000000007</v>
      </c>
    </row>
    <row r="100" spans="1:12" ht="18" x14ac:dyDescent="0.2">
      <c r="A100" s="17">
        <v>690</v>
      </c>
      <c r="B100" s="17" t="s">
        <v>846</v>
      </c>
      <c r="C100" s="17" t="s">
        <v>104</v>
      </c>
      <c r="D100" s="17">
        <v>11</v>
      </c>
      <c r="E100" s="17" t="s">
        <v>264</v>
      </c>
      <c r="F100" s="17" t="s">
        <v>175</v>
      </c>
      <c r="G100" s="17" t="s">
        <v>175</v>
      </c>
      <c r="H100" s="17" t="s">
        <v>828</v>
      </c>
      <c r="I100" s="17">
        <v>4</v>
      </c>
      <c r="J100" s="18">
        <f t="shared" si="2"/>
        <v>0</v>
      </c>
      <c r="K100" s="18">
        <f t="shared" si="3"/>
        <v>2</v>
      </c>
      <c r="L100" s="20">
        <f>IF(H100="Shipped",'Capacity &amp; Cost Dashboard'!D27+'Capacity &amp; Cost Dashboard'!D28*D100*INDEX('Capacity &amp; Cost Dashboard'!$C$31:$C$38,MATCH(INDEX(Products!$C$2:$C$31,MATCH(C100,Products!$A$2:$A$31,0)),'Capacity &amp; Cost Dashboard'!$B$31:$B$38,0)),0)</f>
        <v>32.75</v>
      </c>
    </row>
    <row r="101" spans="1:12" ht="18" x14ac:dyDescent="0.2">
      <c r="A101" s="17">
        <v>691</v>
      </c>
      <c r="B101" s="17" t="s">
        <v>842</v>
      </c>
      <c r="C101" s="17" t="s">
        <v>147</v>
      </c>
      <c r="D101" s="17">
        <v>1</v>
      </c>
      <c r="E101" s="17" t="s">
        <v>239</v>
      </c>
      <c r="F101" s="17" t="s">
        <v>175</v>
      </c>
      <c r="G101" s="17" t="s">
        <v>270</v>
      </c>
      <c r="H101" s="17" t="s">
        <v>828</v>
      </c>
      <c r="I101" s="17">
        <v>5</v>
      </c>
      <c r="J101" s="18">
        <f t="shared" si="2"/>
        <v>0</v>
      </c>
      <c r="K101" s="18">
        <f t="shared" si="3"/>
        <v>2</v>
      </c>
      <c r="L101" s="20">
        <f>IF(H101="Shipped",'Capacity &amp; Cost Dashboard'!D27+'Capacity &amp; Cost Dashboard'!D28*D101*INDEX('Capacity &amp; Cost Dashboard'!$C$31:$C$38,MATCH(INDEX(Products!$C$2:$C$31,MATCH(C101,Products!$A$2:$A$31,0)),'Capacity &amp; Cost Dashboard'!$B$31:$B$38,0)),0)</f>
        <v>8.1349999999999998</v>
      </c>
    </row>
    <row r="102" spans="1:12" ht="18" x14ac:dyDescent="0.2">
      <c r="A102" s="17">
        <v>692</v>
      </c>
      <c r="B102" s="17" t="s">
        <v>835</v>
      </c>
      <c r="C102" s="17" t="s">
        <v>95</v>
      </c>
      <c r="D102" s="17">
        <v>14</v>
      </c>
      <c r="E102" s="17" t="s">
        <v>174</v>
      </c>
      <c r="F102" s="17" t="s">
        <v>267</v>
      </c>
      <c r="G102" s="17" t="s">
        <v>236</v>
      </c>
      <c r="H102" s="17" t="s">
        <v>828</v>
      </c>
      <c r="I102" s="17">
        <v>4</v>
      </c>
      <c r="J102" s="18">
        <f t="shared" si="2"/>
        <v>0</v>
      </c>
      <c r="K102" s="18">
        <f t="shared" si="3"/>
        <v>2</v>
      </c>
      <c r="L102" s="20" t="e">
        <f>IF(H102="Shipped",'Capacity &amp; Cost Dashboard'!D27+'Capacity &amp; Cost Dashboard'!D28*D102*INDEX('Capacity &amp; Cost Dashboard'!$C$31:$C$38,MATCH(INDEX(Products!$C$2:$C$31,MATCH(C102,Products!$A$2:$A$31,0)),'Capacity &amp; Cost Dashboard'!$B$31:$B$38,0)),0)</f>
        <v>#N/A</v>
      </c>
    </row>
    <row r="103" spans="1:12" ht="18" x14ac:dyDescent="0.2">
      <c r="A103" s="17">
        <v>693</v>
      </c>
      <c r="B103" s="17" t="s">
        <v>834</v>
      </c>
      <c r="C103" s="17" t="s">
        <v>156</v>
      </c>
      <c r="D103" s="17">
        <v>8</v>
      </c>
      <c r="E103" s="17" t="s">
        <v>264</v>
      </c>
      <c r="F103" s="17" t="s">
        <v>175</v>
      </c>
      <c r="G103" s="17" t="s">
        <v>273</v>
      </c>
      <c r="H103" s="17" t="s">
        <v>828</v>
      </c>
      <c r="I103" s="17">
        <v>2</v>
      </c>
      <c r="J103" s="18">
        <f t="shared" si="2"/>
        <v>1</v>
      </c>
      <c r="K103" s="18">
        <f t="shared" si="3"/>
        <v>2</v>
      </c>
      <c r="L103" s="20">
        <f>IF(H103="Shipped",'Capacity &amp; Cost Dashboard'!D27+'Capacity &amp; Cost Dashboard'!D28*D103*INDEX('Capacity &amp; Cost Dashboard'!$C$31:$C$38,MATCH(INDEX(Products!$C$2:$C$31,MATCH(C103,Products!$A$2:$A$31,0)),'Capacity &amp; Cost Dashboard'!$B$31:$B$38,0)),0)</f>
        <v>18.8</v>
      </c>
    </row>
    <row r="104" spans="1:12" ht="18" x14ac:dyDescent="0.2">
      <c r="A104" s="17">
        <v>694</v>
      </c>
      <c r="B104" s="17" t="s">
        <v>844</v>
      </c>
      <c r="C104" s="17" t="s">
        <v>98</v>
      </c>
      <c r="D104" s="17">
        <v>16</v>
      </c>
      <c r="E104" s="17" t="s">
        <v>236</v>
      </c>
      <c r="F104" s="17" t="s">
        <v>318</v>
      </c>
      <c r="G104" s="17" t="s">
        <v>273</v>
      </c>
      <c r="H104" s="17" t="s">
        <v>828</v>
      </c>
      <c r="I104" s="17">
        <v>5</v>
      </c>
      <c r="J104" s="18">
        <f t="shared" si="2"/>
        <v>0</v>
      </c>
      <c r="K104" s="18">
        <f t="shared" si="3"/>
        <v>2</v>
      </c>
      <c r="L104" s="20" t="e">
        <f>IF(H104="Shipped",'Capacity &amp; Cost Dashboard'!D27+'Capacity &amp; Cost Dashboard'!D28*D104*INDEX('Capacity &amp; Cost Dashboard'!$C$31:$C$38,MATCH(INDEX(Products!$C$2:$C$31,MATCH(C104,Products!$A$2:$A$31,0)),'Capacity &amp; Cost Dashboard'!$B$31:$B$38,0)),0)</f>
        <v>#N/A</v>
      </c>
    </row>
    <row r="105" spans="1:12" ht="18" x14ac:dyDescent="0.2">
      <c r="A105" s="17">
        <v>695</v>
      </c>
      <c r="B105" s="17" t="s">
        <v>839</v>
      </c>
      <c r="C105" s="17" t="s">
        <v>136</v>
      </c>
      <c r="D105" s="17">
        <v>23</v>
      </c>
      <c r="E105" s="17" t="s">
        <v>280</v>
      </c>
      <c r="F105" s="17" t="s">
        <v>236</v>
      </c>
      <c r="G105" s="17" t="s">
        <v>239</v>
      </c>
      <c r="H105" s="17" t="s">
        <v>828</v>
      </c>
      <c r="I105" s="17">
        <v>5</v>
      </c>
      <c r="J105" s="18">
        <f t="shared" si="2"/>
        <v>0</v>
      </c>
      <c r="K105" s="18">
        <f t="shared" si="3"/>
        <v>2</v>
      </c>
      <c r="L105" s="20">
        <f>IF(H105="Shipped",'Capacity &amp; Cost Dashboard'!D27+'Capacity &amp; Cost Dashboard'!D28*D105*INDEX('Capacity &amp; Cost Dashboard'!$C$31:$C$38,MATCH(INDEX(Products!$C$2:$C$31,MATCH(C105,Products!$A$2:$A$31,0)),'Capacity &amp; Cost Dashboard'!$B$31:$B$38,0)),0)</f>
        <v>11.105</v>
      </c>
    </row>
    <row r="106" spans="1:12" ht="18" x14ac:dyDescent="0.2">
      <c r="A106" s="17">
        <v>696</v>
      </c>
      <c r="B106" s="17" t="s">
        <v>842</v>
      </c>
      <c r="C106" s="17" t="s">
        <v>143</v>
      </c>
      <c r="D106" s="17">
        <v>27</v>
      </c>
      <c r="E106" s="17" t="s">
        <v>264</v>
      </c>
      <c r="F106" s="17" t="s">
        <v>270</v>
      </c>
      <c r="G106" s="17" t="s">
        <v>267</v>
      </c>
      <c r="H106" s="17" t="s">
        <v>828</v>
      </c>
      <c r="I106" s="17">
        <v>5</v>
      </c>
      <c r="J106" s="18">
        <f t="shared" si="2"/>
        <v>0</v>
      </c>
      <c r="K106" s="18">
        <f t="shared" si="3"/>
        <v>2</v>
      </c>
      <c r="L106" s="20">
        <f>IF(H106="Shipped",'Capacity &amp; Cost Dashboard'!D27+'Capacity &amp; Cost Dashboard'!D28*D106*INDEX('Capacity &amp; Cost Dashboard'!$C$31:$C$38,MATCH(INDEX(Products!$C$2:$C$31,MATCH(C106,Products!$A$2:$A$31,0)),'Capacity &amp; Cost Dashboard'!$B$31:$B$38,0)),0)</f>
        <v>11.645</v>
      </c>
    </row>
    <row r="107" spans="1:12" ht="18" x14ac:dyDescent="0.2">
      <c r="A107" s="17">
        <v>697</v>
      </c>
      <c r="B107" s="17" t="s">
        <v>826</v>
      </c>
      <c r="C107" s="17" t="s">
        <v>145</v>
      </c>
      <c r="D107" s="17">
        <v>14</v>
      </c>
      <c r="E107" s="17" t="s">
        <v>264</v>
      </c>
      <c r="F107" s="17" t="s">
        <v>175</v>
      </c>
      <c r="G107" s="17" t="s">
        <v>175</v>
      </c>
      <c r="H107" s="17" t="s">
        <v>828</v>
      </c>
      <c r="I107" s="17">
        <v>5</v>
      </c>
      <c r="J107" s="18">
        <f t="shared" si="2"/>
        <v>0</v>
      </c>
      <c r="K107" s="18">
        <f t="shared" si="3"/>
        <v>2</v>
      </c>
      <c r="L107" s="20">
        <f>IF(H107="Shipped",'Capacity &amp; Cost Dashboard'!D27+'Capacity &amp; Cost Dashboard'!D28*D107*INDEX('Capacity &amp; Cost Dashboard'!$C$31:$C$38,MATCH(INDEX(Products!$C$2:$C$31,MATCH(C107,Products!$A$2:$A$31,0)),'Capacity &amp; Cost Dashboard'!$B$31:$B$38,0)),0)</f>
        <v>9.89</v>
      </c>
    </row>
    <row r="108" spans="1:12" ht="18" x14ac:dyDescent="0.2">
      <c r="A108" s="17">
        <v>698</v>
      </c>
      <c r="B108" s="17" t="s">
        <v>855</v>
      </c>
      <c r="C108" s="17" t="s">
        <v>95</v>
      </c>
      <c r="D108" s="17">
        <v>17</v>
      </c>
      <c r="E108" s="17" t="s">
        <v>280</v>
      </c>
      <c r="F108" s="17" t="s">
        <v>267</v>
      </c>
      <c r="G108" s="17" t="s">
        <v>267</v>
      </c>
      <c r="H108" s="17" t="s">
        <v>828</v>
      </c>
      <c r="I108" s="17">
        <v>4</v>
      </c>
      <c r="J108" s="18">
        <f t="shared" si="2"/>
        <v>0</v>
      </c>
      <c r="K108" s="18">
        <f t="shared" si="3"/>
        <v>2</v>
      </c>
      <c r="L108" s="20" t="e">
        <f>IF(H108="Shipped",'Capacity &amp; Cost Dashboard'!D27+'Capacity &amp; Cost Dashboard'!D28*D108*INDEX('Capacity &amp; Cost Dashboard'!$C$31:$C$38,MATCH(INDEX(Products!$C$2:$C$31,MATCH(C108,Products!$A$2:$A$31,0)),'Capacity &amp; Cost Dashboard'!$B$31:$B$38,0)),0)</f>
        <v>#N/A</v>
      </c>
    </row>
    <row r="109" spans="1:12" ht="18" x14ac:dyDescent="0.2">
      <c r="A109" s="17">
        <v>699</v>
      </c>
      <c r="B109" s="17" t="s">
        <v>841</v>
      </c>
      <c r="C109" s="17" t="s">
        <v>111</v>
      </c>
      <c r="D109" s="17">
        <v>20</v>
      </c>
      <c r="E109" s="17" t="s">
        <v>264</v>
      </c>
      <c r="F109" s="17" t="s">
        <v>175</v>
      </c>
      <c r="G109" s="17" t="s">
        <v>270</v>
      </c>
      <c r="H109" s="17" t="s">
        <v>828</v>
      </c>
      <c r="I109" s="17">
        <v>4</v>
      </c>
      <c r="J109" s="18">
        <f t="shared" si="2"/>
        <v>0</v>
      </c>
      <c r="K109" s="18">
        <f t="shared" si="3"/>
        <v>2</v>
      </c>
      <c r="L109" s="20">
        <f>IF(H109="Shipped",'Capacity &amp; Cost Dashboard'!D27+'Capacity &amp; Cost Dashboard'!D28*D109*INDEX('Capacity &amp; Cost Dashboard'!$C$31:$C$38,MATCH(INDEX(Products!$C$2:$C$31,MATCH(C109,Products!$A$2:$A$31,0)),'Capacity &amp; Cost Dashboard'!$B$31:$B$38,0)),0)</f>
        <v>53</v>
      </c>
    </row>
    <row r="110" spans="1:12" ht="18" x14ac:dyDescent="0.2">
      <c r="A110" s="17">
        <v>700</v>
      </c>
      <c r="B110" s="17" t="s">
        <v>856</v>
      </c>
      <c r="C110" s="17" t="s">
        <v>120</v>
      </c>
      <c r="D110" s="17">
        <v>6</v>
      </c>
      <c r="E110" s="17" t="s">
        <v>174</v>
      </c>
      <c r="F110" s="17" t="s">
        <v>236</v>
      </c>
      <c r="G110" s="17" t="s">
        <v>239</v>
      </c>
      <c r="H110" s="17" t="s">
        <v>828</v>
      </c>
      <c r="I110" s="17">
        <v>4</v>
      </c>
      <c r="J110" s="18">
        <f t="shared" si="2"/>
        <v>0</v>
      </c>
      <c r="K110" s="18">
        <f t="shared" si="3"/>
        <v>2</v>
      </c>
      <c r="L110" s="20">
        <f>IF(H110="Shipped",'Capacity &amp; Cost Dashboard'!D27+'Capacity &amp; Cost Dashboard'!D28*D110*INDEX('Capacity &amp; Cost Dashboard'!$C$31:$C$38,MATCH(INDEX(Products!$C$2:$C$31,MATCH(C110,Products!$A$2:$A$31,0)),'Capacity &amp; Cost Dashboard'!$B$31:$B$38,0)),0)</f>
        <v>10.7</v>
      </c>
    </row>
    <row r="111" spans="1:12" ht="18" x14ac:dyDescent="0.2">
      <c r="A111" s="17">
        <v>701</v>
      </c>
      <c r="B111" s="17" t="s">
        <v>848</v>
      </c>
      <c r="C111" s="17" t="s">
        <v>130</v>
      </c>
      <c r="D111" s="17">
        <v>11</v>
      </c>
      <c r="E111" s="17" t="s">
        <v>264</v>
      </c>
      <c r="F111" s="17" t="s">
        <v>270</v>
      </c>
      <c r="G111" s="17" t="s">
        <v>270</v>
      </c>
      <c r="H111" s="17" t="s">
        <v>828</v>
      </c>
      <c r="I111" s="17">
        <v>5</v>
      </c>
      <c r="J111" s="18">
        <f t="shared" si="2"/>
        <v>0</v>
      </c>
      <c r="K111" s="18">
        <f t="shared" si="3"/>
        <v>2</v>
      </c>
      <c r="L111" s="20">
        <f>IF(H111="Shipped",'Capacity &amp; Cost Dashboard'!D27+'Capacity &amp; Cost Dashboard'!D28*D111*INDEX('Capacity &amp; Cost Dashboard'!$C$31:$C$38,MATCH(INDEX(Products!$C$2:$C$31,MATCH(C111,Products!$A$2:$A$31,0)),'Capacity &amp; Cost Dashboard'!$B$31:$B$38,0)),0)</f>
        <v>17.899999999999999</v>
      </c>
    </row>
    <row r="112" spans="1:12" ht="18" x14ac:dyDescent="0.2">
      <c r="A112" s="17">
        <v>702</v>
      </c>
      <c r="B112" s="17" t="s">
        <v>832</v>
      </c>
      <c r="C112" s="17" t="s">
        <v>132</v>
      </c>
      <c r="D112" s="17">
        <v>13</v>
      </c>
      <c r="E112" s="17" t="s">
        <v>236</v>
      </c>
      <c r="F112" s="17" t="s">
        <v>318</v>
      </c>
      <c r="G112" s="17" t="s">
        <v>315</v>
      </c>
      <c r="H112" s="17" t="s">
        <v>828</v>
      </c>
      <c r="I112" s="17">
        <v>2</v>
      </c>
      <c r="J112" s="18">
        <f t="shared" si="2"/>
        <v>1</v>
      </c>
      <c r="K112" s="18">
        <f t="shared" si="3"/>
        <v>2</v>
      </c>
      <c r="L112" s="20">
        <f>IF(H112="Shipped",'Capacity &amp; Cost Dashboard'!D27+'Capacity &amp; Cost Dashboard'!D28*D112*INDEX('Capacity &amp; Cost Dashboard'!$C$31:$C$38,MATCH(INDEX(Products!$C$2:$C$31,MATCH(C112,Products!$A$2:$A$31,0)),'Capacity &amp; Cost Dashboard'!$B$31:$B$38,0)),0)</f>
        <v>19.700000000000003</v>
      </c>
    </row>
    <row r="113" spans="1:12" ht="18" x14ac:dyDescent="0.2">
      <c r="A113" s="17">
        <v>703</v>
      </c>
      <c r="B113" s="17" t="s">
        <v>845</v>
      </c>
      <c r="C113" s="17" t="s">
        <v>152</v>
      </c>
      <c r="D113" s="17">
        <v>7</v>
      </c>
      <c r="E113" s="17" t="s">
        <v>264</v>
      </c>
      <c r="F113" s="17" t="s">
        <v>175</v>
      </c>
      <c r="G113" s="17" t="s">
        <v>270</v>
      </c>
      <c r="H113" s="17" t="s">
        <v>828</v>
      </c>
      <c r="I113" s="17">
        <v>5</v>
      </c>
      <c r="J113" s="18">
        <f t="shared" si="2"/>
        <v>0</v>
      </c>
      <c r="K113" s="18">
        <f t="shared" si="3"/>
        <v>2</v>
      </c>
      <c r="L113" s="20">
        <f>IF(H113="Shipped",'Capacity &amp; Cost Dashboard'!D27+'Capacity &amp; Cost Dashboard'!D28*D113*INDEX('Capacity &amp; Cost Dashboard'!$C$31:$C$38,MATCH(INDEX(Products!$C$2:$C$31,MATCH(C113,Products!$A$2:$A$31,0)),'Capacity &amp; Cost Dashboard'!$B$31:$B$38,0)),0)</f>
        <v>12.725</v>
      </c>
    </row>
    <row r="114" spans="1:12" ht="18" x14ac:dyDescent="0.2">
      <c r="A114" s="17">
        <v>704</v>
      </c>
      <c r="B114" s="17" t="s">
        <v>835</v>
      </c>
      <c r="C114" s="17" t="s">
        <v>100</v>
      </c>
      <c r="D114" s="17">
        <v>6</v>
      </c>
      <c r="E114" s="17" t="s">
        <v>280</v>
      </c>
      <c r="F114" s="17" t="s">
        <v>267</v>
      </c>
      <c r="G114" s="17" t="s">
        <v>236</v>
      </c>
      <c r="H114" s="17" t="s">
        <v>828</v>
      </c>
      <c r="I114" s="17">
        <v>4</v>
      </c>
      <c r="J114" s="18">
        <f t="shared" si="2"/>
        <v>0</v>
      </c>
      <c r="K114" s="18">
        <f t="shared" si="3"/>
        <v>2</v>
      </c>
      <c r="L114" s="20" t="e">
        <f>IF(H114="Shipped",'Capacity &amp; Cost Dashboard'!D27+'Capacity &amp; Cost Dashboard'!D28*D114*INDEX('Capacity &amp; Cost Dashboard'!$C$31:$C$38,MATCH(INDEX(Products!$C$2:$C$31,MATCH(C114,Products!$A$2:$A$31,0)),'Capacity &amp; Cost Dashboard'!$B$31:$B$38,0)),0)</f>
        <v>#N/A</v>
      </c>
    </row>
    <row r="115" spans="1:12" ht="18" x14ac:dyDescent="0.2">
      <c r="A115" s="17">
        <v>705</v>
      </c>
      <c r="B115" s="17" t="s">
        <v>849</v>
      </c>
      <c r="C115" s="17" t="s">
        <v>145</v>
      </c>
      <c r="D115" s="17">
        <v>14</v>
      </c>
      <c r="E115" s="17" t="s">
        <v>280</v>
      </c>
      <c r="F115" s="17" t="s">
        <v>270</v>
      </c>
      <c r="G115" s="17" t="s">
        <v>175</v>
      </c>
      <c r="H115" s="17" t="s">
        <v>828</v>
      </c>
      <c r="I115" s="17">
        <v>3</v>
      </c>
      <c r="J115" s="18">
        <f t="shared" si="2"/>
        <v>1</v>
      </c>
      <c r="K115" s="18">
        <f t="shared" si="3"/>
        <v>2</v>
      </c>
      <c r="L115" s="20">
        <f>IF(H115="Shipped",'Capacity &amp; Cost Dashboard'!D27+'Capacity &amp; Cost Dashboard'!D28*D115*INDEX('Capacity &amp; Cost Dashboard'!$C$31:$C$38,MATCH(INDEX(Products!$C$2:$C$31,MATCH(C115,Products!$A$2:$A$31,0)),'Capacity &amp; Cost Dashboard'!$B$31:$B$38,0)),0)</f>
        <v>9.89</v>
      </c>
    </row>
    <row r="116" spans="1:12" ht="18" x14ac:dyDescent="0.2">
      <c r="A116" s="17">
        <v>706</v>
      </c>
      <c r="B116" s="17" t="s">
        <v>840</v>
      </c>
      <c r="C116" s="17" t="s">
        <v>141</v>
      </c>
      <c r="D116" s="17">
        <v>8</v>
      </c>
      <c r="E116" s="17" t="s">
        <v>239</v>
      </c>
      <c r="F116" s="17" t="s">
        <v>175</v>
      </c>
      <c r="G116" s="17" t="s">
        <v>270</v>
      </c>
      <c r="H116" s="17" t="s">
        <v>828</v>
      </c>
      <c r="I116" s="17">
        <v>5</v>
      </c>
      <c r="J116" s="18">
        <f t="shared" si="2"/>
        <v>0</v>
      </c>
      <c r="K116" s="18">
        <f t="shared" si="3"/>
        <v>2</v>
      </c>
      <c r="L116" s="20">
        <f>IF(H116="Shipped",'Capacity &amp; Cost Dashboard'!D27+'Capacity &amp; Cost Dashboard'!D28*D116*INDEX('Capacity &amp; Cost Dashboard'!$C$31:$C$38,MATCH(INDEX(Products!$C$2:$C$31,MATCH(C116,Products!$A$2:$A$31,0)),'Capacity &amp; Cost Dashboard'!$B$31:$B$38,0)),0)</f>
        <v>9.08</v>
      </c>
    </row>
    <row r="117" spans="1:12" ht="18" x14ac:dyDescent="0.2">
      <c r="A117" s="17">
        <v>707</v>
      </c>
      <c r="B117" s="17" t="s">
        <v>852</v>
      </c>
      <c r="C117" s="17" t="s">
        <v>95</v>
      </c>
      <c r="D117" s="17">
        <v>12</v>
      </c>
      <c r="E117" s="17" t="s">
        <v>236</v>
      </c>
      <c r="F117" s="17" t="s">
        <v>318</v>
      </c>
      <c r="G117" s="17" t="s">
        <v>273</v>
      </c>
      <c r="H117" s="17" t="s">
        <v>828</v>
      </c>
      <c r="I117" s="17">
        <v>4</v>
      </c>
      <c r="J117" s="18">
        <f t="shared" si="2"/>
        <v>0</v>
      </c>
      <c r="K117" s="18">
        <f t="shared" si="3"/>
        <v>2</v>
      </c>
      <c r="L117" s="20" t="e">
        <f>IF(H117="Shipped",'Capacity &amp; Cost Dashboard'!D27+'Capacity &amp; Cost Dashboard'!D28*D117*INDEX('Capacity &amp; Cost Dashboard'!$C$31:$C$38,MATCH(INDEX(Products!$C$2:$C$31,MATCH(C117,Products!$A$2:$A$31,0)),'Capacity &amp; Cost Dashboard'!$B$31:$B$38,0)),0)</f>
        <v>#N/A</v>
      </c>
    </row>
    <row r="118" spans="1:12" ht="18" x14ac:dyDescent="0.2">
      <c r="A118" s="17">
        <v>708</v>
      </c>
      <c r="B118" s="17" t="s">
        <v>838</v>
      </c>
      <c r="C118" s="17" t="s">
        <v>107</v>
      </c>
      <c r="D118" s="17">
        <v>10</v>
      </c>
      <c r="E118" s="17" t="s">
        <v>280</v>
      </c>
      <c r="F118" s="17" t="s">
        <v>270</v>
      </c>
      <c r="G118" s="17" t="s">
        <v>270</v>
      </c>
      <c r="H118" s="17" t="s">
        <v>828</v>
      </c>
      <c r="I118" s="17">
        <v>5</v>
      </c>
      <c r="J118" s="18">
        <f t="shared" si="2"/>
        <v>0</v>
      </c>
      <c r="K118" s="18">
        <f t="shared" si="3"/>
        <v>2</v>
      </c>
      <c r="L118" s="20">
        <f>IF(H118="Shipped",'Capacity &amp; Cost Dashboard'!D27+'Capacity &amp; Cost Dashboard'!D28*D118*INDEX('Capacity &amp; Cost Dashboard'!$C$31:$C$38,MATCH(INDEX(Products!$C$2:$C$31,MATCH(C118,Products!$A$2:$A$31,0)),'Capacity &amp; Cost Dashboard'!$B$31:$B$38,0)),0)</f>
        <v>30.5</v>
      </c>
    </row>
    <row r="119" spans="1:12" ht="18" x14ac:dyDescent="0.2">
      <c r="A119" s="17">
        <v>709</v>
      </c>
      <c r="B119" s="17" t="s">
        <v>857</v>
      </c>
      <c r="C119" s="17" t="s">
        <v>127</v>
      </c>
      <c r="D119" s="17">
        <v>3</v>
      </c>
      <c r="E119" s="17" t="s">
        <v>239</v>
      </c>
      <c r="F119" s="17" t="s">
        <v>273</v>
      </c>
      <c r="G119" s="17" t="s">
        <v>175</v>
      </c>
      <c r="H119" s="17" t="s">
        <v>828</v>
      </c>
      <c r="I119" s="17">
        <v>5</v>
      </c>
      <c r="J119" s="18">
        <f t="shared" si="2"/>
        <v>0</v>
      </c>
      <c r="K119" s="18">
        <f t="shared" si="3"/>
        <v>2</v>
      </c>
      <c r="L119" s="20">
        <f>IF(H119="Shipped",'Capacity &amp; Cost Dashboard'!D27+'Capacity &amp; Cost Dashboard'!D28*D119*INDEX('Capacity &amp; Cost Dashboard'!$C$31:$C$38,MATCH(INDEX(Products!$C$2:$C$31,MATCH(C119,Products!$A$2:$A$31,0)),'Capacity &amp; Cost Dashboard'!$B$31:$B$38,0)),0)</f>
        <v>10.7</v>
      </c>
    </row>
    <row r="120" spans="1:12" ht="18" x14ac:dyDescent="0.2">
      <c r="A120" s="17">
        <v>710</v>
      </c>
      <c r="B120" s="17" t="s">
        <v>853</v>
      </c>
      <c r="C120" s="17" t="s">
        <v>127</v>
      </c>
      <c r="D120" s="17">
        <v>2</v>
      </c>
      <c r="E120" s="17" t="s">
        <v>239</v>
      </c>
      <c r="F120" s="17" t="s">
        <v>270</v>
      </c>
      <c r="G120" s="17" t="s">
        <v>267</v>
      </c>
      <c r="H120" s="17" t="s">
        <v>828</v>
      </c>
      <c r="I120" s="17">
        <v>4</v>
      </c>
      <c r="J120" s="18">
        <f t="shared" si="2"/>
        <v>0</v>
      </c>
      <c r="K120" s="18">
        <f t="shared" si="3"/>
        <v>2</v>
      </c>
      <c r="L120" s="20">
        <f>IF(H120="Shipped",'Capacity &amp; Cost Dashboard'!D27+'Capacity &amp; Cost Dashboard'!D28*D120*INDEX('Capacity &amp; Cost Dashboard'!$C$31:$C$38,MATCH(INDEX(Products!$C$2:$C$31,MATCH(C120,Products!$A$2:$A$31,0)),'Capacity &amp; Cost Dashboard'!$B$31:$B$38,0)),0)</f>
        <v>9.8000000000000007</v>
      </c>
    </row>
    <row r="121" spans="1:12" ht="18" x14ac:dyDescent="0.2">
      <c r="A121" s="17">
        <v>711</v>
      </c>
      <c r="B121" s="17" t="s">
        <v>843</v>
      </c>
      <c r="C121" s="17" t="s">
        <v>130</v>
      </c>
      <c r="D121" s="17">
        <v>1</v>
      </c>
      <c r="E121" s="17" t="s">
        <v>239</v>
      </c>
      <c r="F121" s="17" t="s">
        <v>273</v>
      </c>
      <c r="G121" s="17" t="s">
        <v>175</v>
      </c>
      <c r="H121" s="17" t="s">
        <v>828</v>
      </c>
      <c r="I121" s="17">
        <v>5</v>
      </c>
      <c r="J121" s="18">
        <f t="shared" si="2"/>
        <v>0</v>
      </c>
      <c r="K121" s="18">
        <f t="shared" si="3"/>
        <v>2</v>
      </c>
      <c r="L121" s="20">
        <f>IF(H121="Shipped",'Capacity &amp; Cost Dashboard'!D27+'Capacity &amp; Cost Dashboard'!D28*D121*INDEX('Capacity &amp; Cost Dashboard'!$C$31:$C$38,MATCH(INDEX(Products!$C$2:$C$31,MATCH(C121,Products!$A$2:$A$31,0)),'Capacity &amp; Cost Dashboard'!$B$31:$B$38,0)),0)</f>
        <v>8.9</v>
      </c>
    </row>
    <row r="122" spans="1:12" ht="18" x14ac:dyDescent="0.2">
      <c r="A122" s="17">
        <v>712</v>
      </c>
      <c r="B122" s="17" t="s">
        <v>838</v>
      </c>
      <c r="C122" s="17" t="s">
        <v>109</v>
      </c>
      <c r="D122" s="17">
        <v>2</v>
      </c>
      <c r="E122" s="17" t="s">
        <v>174</v>
      </c>
      <c r="F122" s="17" t="s">
        <v>267</v>
      </c>
      <c r="G122" s="17" t="s">
        <v>267</v>
      </c>
      <c r="H122" s="17" t="s">
        <v>828</v>
      </c>
      <c r="I122" s="17">
        <v>4</v>
      </c>
      <c r="J122" s="18">
        <f t="shared" si="2"/>
        <v>0</v>
      </c>
      <c r="K122" s="18">
        <f t="shared" si="3"/>
        <v>2</v>
      </c>
      <c r="L122" s="20">
        <f>IF(H122="Shipped",'Capacity &amp; Cost Dashboard'!D27+'Capacity &amp; Cost Dashboard'!D28*D122*INDEX('Capacity &amp; Cost Dashboard'!$C$31:$C$38,MATCH(INDEX(Products!$C$2:$C$31,MATCH(C122,Products!$A$2:$A$31,0)),'Capacity &amp; Cost Dashboard'!$B$31:$B$38,0)),0)</f>
        <v>12.5</v>
      </c>
    </row>
    <row r="123" spans="1:12" ht="18" x14ac:dyDescent="0.2">
      <c r="A123" s="17">
        <v>713</v>
      </c>
      <c r="B123" s="17" t="s">
        <v>829</v>
      </c>
      <c r="C123" s="17" t="s">
        <v>147</v>
      </c>
      <c r="D123" s="17">
        <v>13</v>
      </c>
      <c r="E123" s="17" t="s">
        <v>280</v>
      </c>
      <c r="F123" s="17" t="s">
        <v>267</v>
      </c>
      <c r="G123" s="17" t="s">
        <v>236</v>
      </c>
      <c r="H123" s="17" t="s">
        <v>828</v>
      </c>
      <c r="I123" s="17">
        <v>4</v>
      </c>
      <c r="J123" s="18">
        <f t="shared" si="2"/>
        <v>0</v>
      </c>
      <c r="K123" s="18">
        <f t="shared" si="3"/>
        <v>2</v>
      </c>
      <c r="L123" s="20">
        <f>IF(H123="Shipped",'Capacity &amp; Cost Dashboard'!D27+'Capacity &amp; Cost Dashboard'!D28*D123*INDEX('Capacity &amp; Cost Dashboard'!$C$31:$C$38,MATCH(INDEX(Products!$C$2:$C$31,MATCH(C123,Products!$A$2:$A$31,0)),'Capacity &amp; Cost Dashboard'!$B$31:$B$38,0)),0)</f>
        <v>9.7550000000000008</v>
      </c>
    </row>
    <row r="124" spans="1:12" ht="18" x14ac:dyDescent="0.2">
      <c r="A124" s="17">
        <v>714</v>
      </c>
      <c r="B124" s="17" t="s">
        <v>835</v>
      </c>
      <c r="C124" s="17" t="s">
        <v>98</v>
      </c>
      <c r="D124" s="17">
        <v>3</v>
      </c>
      <c r="E124" s="17" t="s">
        <v>280</v>
      </c>
      <c r="F124" s="17" t="s">
        <v>236</v>
      </c>
      <c r="G124" s="17" t="s">
        <v>236</v>
      </c>
      <c r="H124" s="17" t="s">
        <v>828</v>
      </c>
      <c r="I124" s="17">
        <v>4</v>
      </c>
      <c r="J124" s="18">
        <f t="shared" si="2"/>
        <v>0</v>
      </c>
      <c r="K124" s="18">
        <f t="shared" si="3"/>
        <v>2</v>
      </c>
      <c r="L124" s="20" t="e">
        <f>IF(H124="Shipped",'Capacity &amp; Cost Dashboard'!D27+'Capacity &amp; Cost Dashboard'!D28*D124*INDEX('Capacity &amp; Cost Dashboard'!$C$31:$C$38,MATCH(INDEX(Products!$C$2:$C$31,MATCH(C124,Products!$A$2:$A$31,0)),'Capacity &amp; Cost Dashboard'!$B$31:$B$38,0)),0)</f>
        <v>#N/A</v>
      </c>
    </row>
    <row r="125" spans="1:12" ht="18" x14ac:dyDescent="0.2">
      <c r="A125" s="17">
        <v>715</v>
      </c>
      <c r="B125" s="17" t="s">
        <v>855</v>
      </c>
      <c r="C125" s="17" t="s">
        <v>95</v>
      </c>
      <c r="D125" s="17">
        <v>12</v>
      </c>
      <c r="E125" s="17" t="s">
        <v>239</v>
      </c>
      <c r="F125" s="17" t="s">
        <v>273</v>
      </c>
      <c r="G125" s="17" t="s">
        <v>175</v>
      </c>
      <c r="H125" s="17" t="s">
        <v>828</v>
      </c>
      <c r="I125" s="17">
        <v>4</v>
      </c>
      <c r="J125" s="18">
        <f t="shared" si="2"/>
        <v>0</v>
      </c>
      <c r="K125" s="18">
        <f t="shared" si="3"/>
        <v>2</v>
      </c>
      <c r="L125" s="20" t="e">
        <f>IF(H125="Shipped",'Capacity &amp; Cost Dashboard'!D27+'Capacity &amp; Cost Dashboard'!D28*D125*INDEX('Capacity &amp; Cost Dashboard'!$C$31:$C$38,MATCH(INDEX(Products!$C$2:$C$31,MATCH(C125,Products!$A$2:$A$31,0)),'Capacity &amp; Cost Dashboard'!$B$31:$B$38,0)),0)</f>
        <v>#N/A</v>
      </c>
    </row>
    <row r="126" spans="1:12" ht="18" x14ac:dyDescent="0.2">
      <c r="A126" s="17">
        <v>716</v>
      </c>
      <c r="B126" s="17" t="s">
        <v>854</v>
      </c>
      <c r="C126" s="17" t="s">
        <v>118</v>
      </c>
      <c r="D126" s="17">
        <v>4</v>
      </c>
      <c r="E126" s="17" t="s">
        <v>264</v>
      </c>
      <c r="F126" s="17" t="s">
        <v>267</v>
      </c>
      <c r="G126" s="17" t="s">
        <v>267</v>
      </c>
      <c r="H126" s="17" t="s">
        <v>828</v>
      </c>
      <c r="I126" s="17">
        <v>4</v>
      </c>
      <c r="J126" s="18">
        <f t="shared" si="2"/>
        <v>0</v>
      </c>
      <c r="K126" s="18">
        <f t="shared" si="3"/>
        <v>2</v>
      </c>
      <c r="L126" s="20">
        <f>IF(H126="Shipped",'Capacity &amp; Cost Dashboard'!D27+'Capacity &amp; Cost Dashboard'!D28*D126*INDEX('Capacity &amp; Cost Dashboard'!$C$31:$C$38,MATCH(INDEX(Products!$C$2:$C$31,MATCH(C126,Products!$A$2:$A$31,0)),'Capacity &amp; Cost Dashboard'!$B$31:$B$38,0)),0)</f>
        <v>11.6</v>
      </c>
    </row>
    <row r="127" spans="1:12" ht="18" x14ac:dyDescent="0.2">
      <c r="A127" s="17">
        <v>717</v>
      </c>
      <c r="B127" s="17" t="s">
        <v>832</v>
      </c>
      <c r="C127" s="17" t="s">
        <v>154</v>
      </c>
      <c r="D127" s="17">
        <v>2</v>
      </c>
      <c r="E127" s="17" t="s">
        <v>239</v>
      </c>
      <c r="F127" s="17" t="s">
        <v>273</v>
      </c>
      <c r="G127" s="17" t="s">
        <v>175</v>
      </c>
      <c r="H127" s="17" t="s">
        <v>828</v>
      </c>
      <c r="I127" s="17">
        <v>4</v>
      </c>
      <c r="J127" s="18">
        <f t="shared" si="2"/>
        <v>0</v>
      </c>
      <c r="K127" s="18">
        <f t="shared" si="3"/>
        <v>2</v>
      </c>
      <c r="L127" s="20">
        <f>IF(H127="Shipped",'Capacity &amp; Cost Dashboard'!D27+'Capacity &amp; Cost Dashboard'!D28*D127*INDEX('Capacity &amp; Cost Dashboard'!$C$31:$C$38,MATCH(INDEX(Products!$C$2:$C$31,MATCH(C127,Products!$A$2:$A$31,0)),'Capacity &amp; Cost Dashboard'!$B$31:$B$38,0)),0)</f>
        <v>9.35</v>
      </c>
    </row>
    <row r="128" spans="1:12" ht="18" x14ac:dyDescent="0.2">
      <c r="A128" s="17">
        <v>718</v>
      </c>
      <c r="B128" s="17" t="s">
        <v>835</v>
      </c>
      <c r="C128" s="17" t="s">
        <v>143</v>
      </c>
      <c r="D128" s="17">
        <v>31</v>
      </c>
      <c r="E128" s="17" t="s">
        <v>264</v>
      </c>
      <c r="F128" s="17" t="s">
        <v>175</v>
      </c>
      <c r="G128" s="17" t="s">
        <v>270</v>
      </c>
      <c r="H128" s="17" t="s">
        <v>828</v>
      </c>
      <c r="I128" s="17">
        <v>5</v>
      </c>
      <c r="J128" s="18">
        <f t="shared" si="2"/>
        <v>0</v>
      </c>
      <c r="K128" s="18">
        <f t="shared" si="3"/>
        <v>2</v>
      </c>
      <c r="L128" s="20">
        <f>IF(H128="Shipped",'Capacity &amp; Cost Dashboard'!D27+'Capacity &amp; Cost Dashboard'!D28*D128*INDEX('Capacity &amp; Cost Dashboard'!$C$31:$C$38,MATCH(INDEX(Products!$C$2:$C$31,MATCH(C128,Products!$A$2:$A$31,0)),'Capacity &amp; Cost Dashboard'!$B$31:$B$38,0)),0)</f>
        <v>12.185</v>
      </c>
    </row>
    <row r="129" spans="1:12" ht="18" x14ac:dyDescent="0.2">
      <c r="A129" s="17">
        <v>719</v>
      </c>
      <c r="B129" s="17" t="s">
        <v>837</v>
      </c>
      <c r="C129" s="17" t="s">
        <v>130</v>
      </c>
      <c r="D129" s="17">
        <v>1</v>
      </c>
      <c r="E129" s="17" t="s">
        <v>264</v>
      </c>
      <c r="F129" s="17" t="s">
        <v>175</v>
      </c>
      <c r="G129" s="17" t="s">
        <v>270</v>
      </c>
      <c r="H129" s="17" t="s">
        <v>828</v>
      </c>
      <c r="I129" s="17">
        <v>4</v>
      </c>
      <c r="J129" s="18">
        <f t="shared" si="2"/>
        <v>0</v>
      </c>
      <c r="K129" s="18">
        <f t="shared" si="3"/>
        <v>2</v>
      </c>
      <c r="L129" s="20">
        <f>IF(H129="Shipped",'Capacity &amp; Cost Dashboard'!D27+'Capacity &amp; Cost Dashboard'!D28*D129*INDEX('Capacity &amp; Cost Dashboard'!$C$31:$C$38,MATCH(INDEX(Products!$C$2:$C$31,MATCH(C129,Products!$A$2:$A$31,0)),'Capacity &amp; Cost Dashboard'!$B$31:$B$38,0)),0)</f>
        <v>8.9</v>
      </c>
    </row>
    <row r="130" spans="1:12" ht="18" x14ac:dyDescent="0.2">
      <c r="A130" s="17">
        <v>720</v>
      </c>
      <c r="B130" s="17" t="s">
        <v>847</v>
      </c>
      <c r="C130" s="17" t="s">
        <v>95</v>
      </c>
      <c r="D130" s="17">
        <v>28</v>
      </c>
      <c r="E130" s="17" t="s">
        <v>264</v>
      </c>
      <c r="F130" s="17" t="s">
        <v>267</v>
      </c>
      <c r="G130" s="17" t="s">
        <v>273</v>
      </c>
      <c r="H130" s="17" t="s">
        <v>828</v>
      </c>
      <c r="I130" s="17">
        <v>2</v>
      </c>
      <c r="J130" s="18">
        <f t="shared" ref="J130:J193" si="4">IF(H130="Shipped",IF(G130&gt;F130,1,0),"")</f>
        <v>1</v>
      </c>
      <c r="K130" s="18">
        <f t="shared" ref="K130:K193" si="5">INT((DATEVALUE(E130)-DATE(2026,4,6))/7)</f>
        <v>2</v>
      </c>
      <c r="L130" s="20" t="e">
        <f>IF(H130="Shipped",'Capacity &amp; Cost Dashboard'!D27+'Capacity &amp; Cost Dashboard'!D28*D130*INDEX('Capacity &amp; Cost Dashboard'!$C$31:$C$38,MATCH(INDEX(Products!$C$2:$C$31,MATCH(C130,Products!$A$2:$A$31,0)),'Capacity &amp; Cost Dashboard'!$B$31:$B$38,0)),0)</f>
        <v>#N/A</v>
      </c>
    </row>
    <row r="131" spans="1:12" ht="18" x14ac:dyDescent="0.2">
      <c r="A131" s="17">
        <v>721</v>
      </c>
      <c r="B131" s="17" t="s">
        <v>830</v>
      </c>
      <c r="C131" s="17" t="s">
        <v>143</v>
      </c>
      <c r="D131" s="17">
        <v>18</v>
      </c>
      <c r="E131" s="17" t="s">
        <v>264</v>
      </c>
      <c r="F131" s="17" t="s">
        <v>175</v>
      </c>
      <c r="G131" s="17" t="s">
        <v>175</v>
      </c>
      <c r="H131" s="17" t="s">
        <v>828</v>
      </c>
      <c r="I131" s="17">
        <v>5</v>
      </c>
      <c r="J131" s="18">
        <f t="shared" si="4"/>
        <v>0</v>
      </c>
      <c r="K131" s="18">
        <f t="shared" si="5"/>
        <v>2</v>
      </c>
      <c r="L131" s="20">
        <f>IF(H131="Shipped",'Capacity &amp; Cost Dashboard'!D27+'Capacity &amp; Cost Dashboard'!D28*D131*INDEX('Capacity &amp; Cost Dashboard'!$C$31:$C$38,MATCH(INDEX(Products!$C$2:$C$31,MATCH(C131,Products!$A$2:$A$31,0)),'Capacity &amp; Cost Dashboard'!$B$31:$B$38,0)),0)</f>
        <v>10.43</v>
      </c>
    </row>
    <row r="132" spans="1:12" ht="18" x14ac:dyDescent="0.2">
      <c r="A132" s="17">
        <v>722</v>
      </c>
      <c r="B132" s="17" t="s">
        <v>848</v>
      </c>
      <c r="C132" s="17" t="s">
        <v>161</v>
      </c>
      <c r="D132" s="17">
        <v>5</v>
      </c>
      <c r="E132" s="17" t="s">
        <v>174</v>
      </c>
      <c r="F132" s="17" t="s">
        <v>239</v>
      </c>
      <c r="G132" s="17" t="s">
        <v>239</v>
      </c>
      <c r="H132" s="17" t="s">
        <v>828</v>
      </c>
      <c r="I132" s="17">
        <v>5</v>
      </c>
      <c r="J132" s="18">
        <f t="shared" si="4"/>
        <v>0</v>
      </c>
      <c r="K132" s="18">
        <f t="shared" si="5"/>
        <v>2</v>
      </c>
      <c r="L132" s="20">
        <f>IF(H132="Shipped",'Capacity &amp; Cost Dashboard'!D27+'Capacity &amp; Cost Dashboard'!D28*D132*INDEX('Capacity &amp; Cost Dashboard'!$C$31:$C$38,MATCH(INDEX(Products!$C$2:$C$31,MATCH(C132,Products!$A$2:$A$31,0)),'Capacity &amp; Cost Dashboard'!$B$31:$B$38,0)),0)</f>
        <v>14.75</v>
      </c>
    </row>
    <row r="133" spans="1:12" ht="18" x14ac:dyDescent="0.2">
      <c r="A133" s="17">
        <v>723</v>
      </c>
      <c r="B133" s="17" t="s">
        <v>851</v>
      </c>
      <c r="C133" s="17" t="s">
        <v>109</v>
      </c>
      <c r="D133" s="17">
        <v>1</v>
      </c>
      <c r="E133" s="17" t="s">
        <v>264</v>
      </c>
      <c r="F133" s="17" t="s">
        <v>175</v>
      </c>
      <c r="G133" s="17" t="s">
        <v>175</v>
      </c>
      <c r="H133" s="17" t="s">
        <v>828</v>
      </c>
      <c r="I133" s="17">
        <v>5</v>
      </c>
      <c r="J133" s="18">
        <f t="shared" si="4"/>
        <v>0</v>
      </c>
      <c r="K133" s="18">
        <f t="shared" si="5"/>
        <v>2</v>
      </c>
      <c r="L133" s="20">
        <f>IF(H133="Shipped",'Capacity &amp; Cost Dashboard'!D27+'Capacity &amp; Cost Dashboard'!D28*D133*INDEX('Capacity &amp; Cost Dashboard'!$C$31:$C$38,MATCH(INDEX(Products!$C$2:$C$31,MATCH(C133,Products!$A$2:$A$31,0)),'Capacity &amp; Cost Dashboard'!$B$31:$B$38,0)),0)</f>
        <v>10.25</v>
      </c>
    </row>
    <row r="134" spans="1:12" ht="18" x14ac:dyDescent="0.2">
      <c r="A134" s="17">
        <v>724</v>
      </c>
      <c r="B134" s="17" t="s">
        <v>832</v>
      </c>
      <c r="C134" s="17" t="s">
        <v>154</v>
      </c>
      <c r="D134" s="17">
        <v>2</v>
      </c>
      <c r="E134" s="17" t="s">
        <v>236</v>
      </c>
      <c r="F134" s="17" t="s">
        <v>318</v>
      </c>
      <c r="G134" s="17" t="s">
        <v>273</v>
      </c>
      <c r="H134" s="17" t="s">
        <v>828</v>
      </c>
      <c r="I134" s="17">
        <v>4</v>
      </c>
      <c r="J134" s="18">
        <f t="shared" si="4"/>
        <v>0</v>
      </c>
      <c r="K134" s="18">
        <f t="shared" si="5"/>
        <v>2</v>
      </c>
      <c r="L134" s="20">
        <f>IF(H134="Shipped",'Capacity &amp; Cost Dashboard'!D27+'Capacity &amp; Cost Dashboard'!D28*D134*INDEX('Capacity &amp; Cost Dashboard'!$C$31:$C$38,MATCH(INDEX(Products!$C$2:$C$31,MATCH(C134,Products!$A$2:$A$31,0)),'Capacity &amp; Cost Dashboard'!$B$31:$B$38,0)),0)</f>
        <v>9.35</v>
      </c>
    </row>
    <row r="135" spans="1:12" ht="18" x14ac:dyDescent="0.2">
      <c r="A135" s="17">
        <v>725</v>
      </c>
      <c r="B135" s="17" t="s">
        <v>844</v>
      </c>
      <c r="C135" s="17" t="s">
        <v>95</v>
      </c>
      <c r="D135" s="17">
        <v>22</v>
      </c>
      <c r="E135" s="17" t="s">
        <v>264</v>
      </c>
      <c r="F135" s="17" t="s">
        <v>270</v>
      </c>
      <c r="G135" s="17" t="s">
        <v>267</v>
      </c>
      <c r="H135" s="17" t="s">
        <v>828</v>
      </c>
      <c r="I135" s="17">
        <v>5</v>
      </c>
      <c r="J135" s="18">
        <f t="shared" si="4"/>
        <v>0</v>
      </c>
      <c r="K135" s="18">
        <f t="shared" si="5"/>
        <v>2</v>
      </c>
      <c r="L135" s="20" t="e">
        <f>IF(H135="Shipped",'Capacity &amp; Cost Dashboard'!D27+'Capacity &amp; Cost Dashboard'!D28*D135*INDEX('Capacity &amp; Cost Dashboard'!$C$31:$C$38,MATCH(INDEX(Products!$C$2:$C$31,MATCH(C135,Products!$A$2:$A$31,0)),'Capacity &amp; Cost Dashboard'!$B$31:$B$38,0)),0)</f>
        <v>#N/A</v>
      </c>
    </row>
    <row r="136" spans="1:12" ht="18" x14ac:dyDescent="0.2">
      <c r="A136" s="17">
        <v>726</v>
      </c>
      <c r="B136" s="17" t="s">
        <v>833</v>
      </c>
      <c r="C136" s="17" t="s">
        <v>107</v>
      </c>
      <c r="D136" s="17">
        <v>10</v>
      </c>
      <c r="E136" s="17" t="s">
        <v>174</v>
      </c>
      <c r="F136" s="17" t="s">
        <v>239</v>
      </c>
      <c r="G136" s="17" t="s">
        <v>270</v>
      </c>
      <c r="H136" s="17" t="s">
        <v>828</v>
      </c>
      <c r="I136" s="17">
        <v>4</v>
      </c>
      <c r="J136" s="18">
        <f t="shared" si="4"/>
        <v>1</v>
      </c>
      <c r="K136" s="18">
        <f t="shared" si="5"/>
        <v>2</v>
      </c>
      <c r="L136" s="20">
        <f>IF(H136="Shipped",'Capacity &amp; Cost Dashboard'!D27+'Capacity &amp; Cost Dashboard'!D28*D136*INDEX('Capacity &amp; Cost Dashboard'!$C$31:$C$38,MATCH(INDEX(Products!$C$2:$C$31,MATCH(C136,Products!$A$2:$A$31,0)),'Capacity &amp; Cost Dashboard'!$B$31:$B$38,0)),0)</f>
        <v>30.5</v>
      </c>
    </row>
    <row r="137" spans="1:12" ht="18" x14ac:dyDescent="0.2">
      <c r="A137" s="17">
        <v>727</v>
      </c>
      <c r="B137" s="17" t="s">
        <v>850</v>
      </c>
      <c r="C137" s="17" t="s">
        <v>104</v>
      </c>
      <c r="D137" s="17">
        <v>1</v>
      </c>
      <c r="E137" s="17" t="s">
        <v>280</v>
      </c>
      <c r="F137" s="17" t="s">
        <v>270</v>
      </c>
      <c r="G137" s="17" t="s">
        <v>267</v>
      </c>
      <c r="H137" s="17" t="s">
        <v>828</v>
      </c>
      <c r="I137" s="17">
        <v>4</v>
      </c>
      <c r="J137" s="18">
        <f t="shared" si="4"/>
        <v>0</v>
      </c>
      <c r="K137" s="18">
        <f t="shared" si="5"/>
        <v>2</v>
      </c>
      <c r="L137" s="20">
        <f>IF(H137="Shipped",'Capacity &amp; Cost Dashboard'!D27+'Capacity &amp; Cost Dashboard'!D28*D137*INDEX('Capacity &amp; Cost Dashboard'!$C$31:$C$38,MATCH(INDEX(Products!$C$2:$C$31,MATCH(C137,Products!$A$2:$A$31,0)),'Capacity &amp; Cost Dashboard'!$B$31:$B$38,0)),0)</f>
        <v>10.25</v>
      </c>
    </row>
    <row r="138" spans="1:12" ht="18" x14ac:dyDescent="0.2">
      <c r="A138" s="17">
        <v>728</v>
      </c>
      <c r="B138" s="17" t="s">
        <v>847</v>
      </c>
      <c r="C138" s="17" t="s">
        <v>111</v>
      </c>
      <c r="D138" s="17">
        <v>4</v>
      </c>
      <c r="E138" s="17" t="s">
        <v>280</v>
      </c>
      <c r="F138" s="17" t="s">
        <v>270</v>
      </c>
      <c r="G138" s="17" t="s">
        <v>270</v>
      </c>
      <c r="H138" s="17" t="s">
        <v>828</v>
      </c>
      <c r="I138" s="17">
        <v>5</v>
      </c>
      <c r="J138" s="18">
        <f t="shared" si="4"/>
        <v>0</v>
      </c>
      <c r="K138" s="18">
        <f t="shared" si="5"/>
        <v>2</v>
      </c>
      <c r="L138" s="20">
        <f>IF(H138="Shipped",'Capacity &amp; Cost Dashboard'!D27+'Capacity &amp; Cost Dashboard'!D28*D138*INDEX('Capacity &amp; Cost Dashboard'!$C$31:$C$38,MATCH(INDEX(Products!$C$2:$C$31,MATCH(C138,Products!$A$2:$A$31,0)),'Capacity &amp; Cost Dashboard'!$B$31:$B$38,0)),0)</f>
        <v>17</v>
      </c>
    </row>
    <row r="139" spans="1:12" ht="18" x14ac:dyDescent="0.2">
      <c r="A139" s="17">
        <v>729</v>
      </c>
      <c r="B139" s="17" t="s">
        <v>840</v>
      </c>
      <c r="C139" s="17" t="s">
        <v>152</v>
      </c>
      <c r="D139" s="17">
        <v>9</v>
      </c>
      <c r="E139" s="17" t="s">
        <v>280</v>
      </c>
      <c r="F139" s="17" t="s">
        <v>236</v>
      </c>
      <c r="G139" s="17" t="s">
        <v>236</v>
      </c>
      <c r="H139" s="17" t="s">
        <v>828</v>
      </c>
      <c r="I139" s="17">
        <v>4</v>
      </c>
      <c r="J139" s="18">
        <f t="shared" si="4"/>
        <v>0</v>
      </c>
      <c r="K139" s="18">
        <f t="shared" si="5"/>
        <v>2</v>
      </c>
      <c r="L139" s="20">
        <f>IF(H139="Shipped",'Capacity &amp; Cost Dashboard'!D27+'Capacity &amp; Cost Dashboard'!D28*D139*INDEX('Capacity &amp; Cost Dashboard'!$C$31:$C$38,MATCH(INDEX(Products!$C$2:$C$31,MATCH(C139,Products!$A$2:$A$31,0)),'Capacity &amp; Cost Dashboard'!$B$31:$B$38,0)),0)</f>
        <v>14.074999999999999</v>
      </c>
    </row>
    <row r="140" spans="1:12" ht="18" x14ac:dyDescent="0.2">
      <c r="A140" s="17">
        <v>730</v>
      </c>
      <c r="B140" s="17" t="s">
        <v>826</v>
      </c>
      <c r="C140" s="17" t="s">
        <v>120</v>
      </c>
      <c r="D140" s="17">
        <v>5</v>
      </c>
      <c r="E140" s="17" t="s">
        <v>236</v>
      </c>
      <c r="F140" s="17" t="s">
        <v>273</v>
      </c>
      <c r="G140" s="17" t="s">
        <v>175</v>
      </c>
      <c r="H140" s="17" t="s">
        <v>828</v>
      </c>
      <c r="I140" s="17">
        <v>5</v>
      </c>
      <c r="J140" s="18">
        <f t="shared" si="4"/>
        <v>0</v>
      </c>
      <c r="K140" s="18">
        <f t="shared" si="5"/>
        <v>2</v>
      </c>
      <c r="L140" s="20">
        <f>IF(H140="Shipped",'Capacity &amp; Cost Dashboard'!D27+'Capacity &amp; Cost Dashboard'!D28*D140*INDEX('Capacity &amp; Cost Dashboard'!$C$31:$C$38,MATCH(INDEX(Products!$C$2:$C$31,MATCH(C140,Products!$A$2:$A$31,0)),'Capacity &amp; Cost Dashboard'!$B$31:$B$38,0)),0)</f>
        <v>10.25</v>
      </c>
    </row>
    <row r="141" spans="1:12" ht="18" x14ac:dyDescent="0.2">
      <c r="A141" s="17">
        <v>731</v>
      </c>
      <c r="B141" s="17" t="s">
        <v>857</v>
      </c>
      <c r="C141" s="17" t="s">
        <v>113</v>
      </c>
      <c r="D141" s="17">
        <v>7</v>
      </c>
      <c r="E141" s="17" t="s">
        <v>280</v>
      </c>
      <c r="F141" s="17" t="s">
        <v>270</v>
      </c>
      <c r="G141" s="17" t="s">
        <v>267</v>
      </c>
      <c r="H141" s="17" t="s">
        <v>828</v>
      </c>
      <c r="I141" s="17">
        <v>5</v>
      </c>
      <c r="J141" s="18">
        <f t="shared" si="4"/>
        <v>0</v>
      </c>
      <c r="K141" s="18">
        <f t="shared" si="5"/>
        <v>2</v>
      </c>
      <c r="L141" s="20">
        <f>IF(H141="Shipped",'Capacity &amp; Cost Dashboard'!D27+'Capacity &amp; Cost Dashboard'!D28*D141*INDEX('Capacity &amp; Cost Dashboard'!$C$31:$C$38,MATCH(INDEX(Products!$C$2:$C$31,MATCH(C141,Products!$A$2:$A$31,0)),'Capacity &amp; Cost Dashboard'!$B$31:$B$38,0)),0)</f>
        <v>14.3</v>
      </c>
    </row>
    <row r="142" spans="1:12" ht="18" x14ac:dyDescent="0.2">
      <c r="A142" s="17">
        <v>732</v>
      </c>
      <c r="B142" s="17" t="s">
        <v>842</v>
      </c>
      <c r="C142" s="17" t="s">
        <v>156</v>
      </c>
      <c r="D142" s="17">
        <v>6</v>
      </c>
      <c r="E142" s="17" t="s">
        <v>321</v>
      </c>
      <c r="F142" s="17" t="s">
        <v>176</v>
      </c>
      <c r="G142" s="17" t="s">
        <v>295</v>
      </c>
      <c r="H142" s="17" t="s">
        <v>828</v>
      </c>
      <c r="I142" s="17">
        <v>2</v>
      </c>
      <c r="J142" s="18">
        <f t="shared" si="4"/>
        <v>1</v>
      </c>
      <c r="K142" s="18">
        <f t="shared" si="5"/>
        <v>3</v>
      </c>
      <c r="L142" s="20">
        <f>IF(H142="Shipped",'Capacity &amp; Cost Dashboard'!D27+'Capacity &amp; Cost Dashboard'!D28*D142*INDEX('Capacity &amp; Cost Dashboard'!$C$31:$C$38,MATCH(INDEX(Products!$C$2:$C$31,MATCH(C142,Products!$A$2:$A$31,0)),'Capacity &amp; Cost Dashboard'!$B$31:$B$38,0)),0)</f>
        <v>16.100000000000001</v>
      </c>
    </row>
    <row r="143" spans="1:12" ht="18" x14ac:dyDescent="0.2">
      <c r="A143" s="17">
        <v>733</v>
      </c>
      <c r="B143" s="17" t="s">
        <v>842</v>
      </c>
      <c r="C143" s="17" t="s">
        <v>113</v>
      </c>
      <c r="D143" s="17">
        <v>7</v>
      </c>
      <c r="E143" s="17" t="s">
        <v>175</v>
      </c>
      <c r="F143" s="17" t="s">
        <v>321</v>
      </c>
      <c r="G143" s="17" t="s">
        <v>326</v>
      </c>
      <c r="H143" s="17" t="s">
        <v>828</v>
      </c>
      <c r="I143" s="17">
        <v>2</v>
      </c>
      <c r="J143" s="18">
        <f t="shared" si="4"/>
        <v>1</v>
      </c>
      <c r="K143" s="18">
        <f t="shared" si="5"/>
        <v>3</v>
      </c>
      <c r="L143" s="20">
        <f>IF(H143="Shipped",'Capacity &amp; Cost Dashboard'!D27+'Capacity &amp; Cost Dashboard'!D28*D143*INDEX('Capacity &amp; Cost Dashboard'!$C$31:$C$38,MATCH(INDEX(Products!$C$2:$C$31,MATCH(C143,Products!$A$2:$A$31,0)),'Capacity &amp; Cost Dashboard'!$B$31:$B$38,0)),0)</f>
        <v>14.3</v>
      </c>
    </row>
    <row r="144" spans="1:12" ht="18" x14ac:dyDescent="0.2">
      <c r="A144" s="17">
        <v>734</v>
      </c>
      <c r="B144" s="17" t="s">
        <v>845</v>
      </c>
      <c r="C144" s="17" t="s">
        <v>100</v>
      </c>
      <c r="D144" s="17">
        <v>5</v>
      </c>
      <c r="E144" s="17" t="s">
        <v>175</v>
      </c>
      <c r="F144" s="17" t="s">
        <v>321</v>
      </c>
      <c r="G144" s="17" t="s">
        <v>318</v>
      </c>
      <c r="H144" s="17" t="s">
        <v>828</v>
      </c>
      <c r="I144" s="17">
        <v>5</v>
      </c>
      <c r="J144" s="18">
        <f t="shared" si="4"/>
        <v>0</v>
      </c>
      <c r="K144" s="18">
        <f t="shared" si="5"/>
        <v>3</v>
      </c>
      <c r="L144" s="20" t="e">
        <f>IF(H144="Shipped",'Capacity &amp; Cost Dashboard'!D27+'Capacity &amp; Cost Dashboard'!D28*D144*INDEX('Capacity &amp; Cost Dashboard'!$C$31:$C$38,MATCH(INDEX(Products!$C$2:$C$31,MATCH(C144,Products!$A$2:$A$31,0)),'Capacity &amp; Cost Dashboard'!$B$31:$B$38,0)),0)</f>
        <v>#N/A</v>
      </c>
    </row>
    <row r="145" spans="1:12" ht="18" x14ac:dyDescent="0.2">
      <c r="A145" s="17">
        <v>735</v>
      </c>
      <c r="B145" s="17" t="s">
        <v>848</v>
      </c>
      <c r="C145" s="17" t="s">
        <v>120</v>
      </c>
      <c r="D145" s="17">
        <v>12</v>
      </c>
      <c r="E145" s="17" t="s">
        <v>273</v>
      </c>
      <c r="F145" s="17" t="s">
        <v>315</v>
      </c>
      <c r="G145" s="17" t="s">
        <v>315</v>
      </c>
      <c r="H145" s="17" t="s">
        <v>828</v>
      </c>
      <c r="I145" s="17">
        <v>5</v>
      </c>
      <c r="J145" s="18">
        <f t="shared" si="4"/>
        <v>0</v>
      </c>
      <c r="K145" s="18">
        <f t="shared" si="5"/>
        <v>3</v>
      </c>
      <c r="L145" s="20">
        <f>IF(H145="Shipped",'Capacity &amp; Cost Dashboard'!D27+'Capacity &amp; Cost Dashboard'!D28*D145*INDEX('Capacity &amp; Cost Dashboard'!$C$31:$C$38,MATCH(INDEX(Products!$C$2:$C$31,MATCH(C145,Products!$A$2:$A$31,0)),'Capacity &amp; Cost Dashboard'!$B$31:$B$38,0)),0)</f>
        <v>13.4</v>
      </c>
    </row>
    <row r="146" spans="1:12" ht="18" x14ac:dyDescent="0.2">
      <c r="A146" s="17">
        <v>736</v>
      </c>
      <c r="B146" s="17" t="s">
        <v>850</v>
      </c>
      <c r="C146" s="17" t="s">
        <v>109</v>
      </c>
      <c r="D146" s="17">
        <v>5</v>
      </c>
      <c r="E146" s="17" t="s">
        <v>321</v>
      </c>
      <c r="F146" s="17" t="s">
        <v>295</v>
      </c>
      <c r="G146" s="17" t="s">
        <v>176</v>
      </c>
      <c r="H146" s="17" t="s">
        <v>828</v>
      </c>
      <c r="I146" s="17">
        <v>4</v>
      </c>
      <c r="J146" s="18">
        <f t="shared" si="4"/>
        <v>0</v>
      </c>
      <c r="K146" s="18">
        <f t="shared" si="5"/>
        <v>3</v>
      </c>
      <c r="L146" s="20">
        <f>IF(H146="Shipped",'Capacity &amp; Cost Dashboard'!D27+'Capacity &amp; Cost Dashboard'!D28*D146*INDEX('Capacity &amp; Cost Dashboard'!$C$31:$C$38,MATCH(INDEX(Products!$C$2:$C$31,MATCH(C146,Products!$A$2:$A$31,0)),'Capacity &amp; Cost Dashboard'!$B$31:$B$38,0)),0)</f>
        <v>19.25</v>
      </c>
    </row>
    <row r="147" spans="1:12" ht="18" x14ac:dyDescent="0.2">
      <c r="A147" s="17">
        <v>737</v>
      </c>
      <c r="B147" s="17" t="s">
        <v>839</v>
      </c>
      <c r="C147" s="17" t="s">
        <v>143</v>
      </c>
      <c r="D147" s="17">
        <v>20</v>
      </c>
      <c r="E147" s="17" t="s">
        <v>326</v>
      </c>
      <c r="F147" s="17" t="s">
        <v>176</v>
      </c>
      <c r="G147" s="17" t="s">
        <v>176</v>
      </c>
      <c r="H147" s="17" t="s">
        <v>828</v>
      </c>
      <c r="I147" s="17">
        <v>4</v>
      </c>
      <c r="J147" s="18">
        <f t="shared" si="4"/>
        <v>0</v>
      </c>
      <c r="K147" s="18">
        <f t="shared" si="5"/>
        <v>3</v>
      </c>
      <c r="L147" s="20">
        <f>IF(H147="Shipped",'Capacity &amp; Cost Dashboard'!D27+'Capacity &amp; Cost Dashboard'!D28*D147*INDEX('Capacity &amp; Cost Dashboard'!$C$31:$C$38,MATCH(INDEX(Products!$C$2:$C$31,MATCH(C147,Products!$A$2:$A$31,0)),'Capacity &amp; Cost Dashboard'!$B$31:$B$38,0)),0)</f>
        <v>10.7</v>
      </c>
    </row>
    <row r="148" spans="1:12" ht="18" x14ac:dyDescent="0.2">
      <c r="A148" s="17">
        <v>738</v>
      </c>
      <c r="B148" s="17" t="s">
        <v>846</v>
      </c>
      <c r="C148" s="17" t="s">
        <v>118</v>
      </c>
      <c r="D148" s="17">
        <v>12</v>
      </c>
      <c r="E148" s="17" t="s">
        <v>273</v>
      </c>
      <c r="F148" s="17" t="s">
        <v>315</v>
      </c>
      <c r="G148" s="17" t="s">
        <v>300</v>
      </c>
      <c r="H148" s="17" t="s">
        <v>828</v>
      </c>
      <c r="I148" s="17">
        <v>5</v>
      </c>
      <c r="J148" s="18">
        <f t="shared" si="4"/>
        <v>0</v>
      </c>
      <c r="K148" s="18">
        <f t="shared" si="5"/>
        <v>3</v>
      </c>
      <c r="L148" s="20">
        <f>IF(H148="Shipped",'Capacity &amp; Cost Dashboard'!D27+'Capacity &amp; Cost Dashboard'!D28*D148*INDEX('Capacity &amp; Cost Dashboard'!$C$31:$C$38,MATCH(INDEX(Products!$C$2:$C$31,MATCH(C148,Products!$A$2:$A$31,0)),'Capacity &amp; Cost Dashboard'!$B$31:$B$38,0)),0)</f>
        <v>18.8</v>
      </c>
    </row>
    <row r="149" spans="1:12" ht="18" x14ac:dyDescent="0.2">
      <c r="A149" s="17">
        <v>739</v>
      </c>
      <c r="B149" s="17" t="s">
        <v>831</v>
      </c>
      <c r="C149" s="17" t="s">
        <v>147</v>
      </c>
      <c r="D149" s="17">
        <v>14</v>
      </c>
      <c r="E149" s="17" t="s">
        <v>175</v>
      </c>
      <c r="F149" s="17" t="s">
        <v>321</v>
      </c>
      <c r="G149" s="17" t="s">
        <v>326</v>
      </c>
      <c r="H149" s="17" t="s">
        <v>828</v>
      </c>
      <c r="I149" s="17">
        <v>3</v>
      </c>
      <c r="J149" s="18">
        <f t="shared" si="4"/>
        <v>1</v>
      </c>
      <c r="K149" s="18">
        <f t="shared" si="5"/>
        <v>3</v>
      </c>
      <c r="L149" s="20">
        <f>IF(H149="Shipped",'Capacity &amp; Cost Dashboard'!D27+'Capacity &amp; Cost Dashboard'!D28*D149*INDEX('Capacity &amp; Cost Dashboard'!$C$31:$C$38,MATCH(INDEX(Products!$C$2:$C$31,MATCH(C149,Products!$A$2:$A$31,0)),'Capacity &amp; Cost Dashboard'!$B$31:$B$38,0)),0)</f>
        <v>9.89</v>
      </c>
    </row>
    <row r="150" spans="1:12" ht="18" x14ac:dyDescent="0.2">
      <c r="A150" s="17">
        <v>740</v>
      </c>
      <c r="B150" s="17" t="s">
        <v>833</v>
      </c>
      <c r="C150" s="17" t="s">
        <v>109</v>
      </c>
      <c r="D150" s="17">
        <v>2</v>
      </c>
      <c r="E150" s="17" t="s">
        <v>273</v>
      </c>
      <c r="F150" s="17" t="s">
        <v>315</v>
      </c>
      <c r="G150" s="17" t="s">
        <v>300</v>
      </c>
      <c r="H150" s="17" t="s">
        <v>828</v>
      </c>
      <c r="I150" s="17">
        <v>4</v>
      </c>
      <c r="J150" s="18">
        <f t="shared" si="4"/>
        <v>0</v>
      </c>
      <c r="K150" s="18">
        <f t="shared" si="5"/>
        <v>3</v>
      </c>
      <c r="L150" s="20">
        <f>IF(H150="Shipped",'Capacity &amp; Cost Dashboard'!D27+'Capacity &amp; Cost Dashboard'!D28*D150*INDEX('Capacity &amp; Cost Dashboard'!$C$31:$C$38,MATCH(INDEX(Products!$C$2:$C$31,MATCH(C150,Products!$A$2:$A$31,0)),'Capacity &amp; Cost Dashboard'!$B$31:$B$38,0)),0)</f>
        <v>12.5</v>
      </c>
    </row>
    <row r="151" spans="1:12" ht="18" x14ac:dyDescent="0.2">
      <c r="A151" s="17">
        <v>741</v>
      </c>
      <c r="B151" s="17" t="s">
        <v>849</v>
      </c>
      <c r="C151" s="17" t="s">
        <v>109</v>
      </c>
      <c r="D151" s="17">
        <v>5</v>
      </c>
      <c r="E151" s="17" t="s">
        <v>326</v>
      </c>
      <c r="F151" s="17" t="s">
        <v>176</v>
      </c>
      <c r="G151" s="17" t="s">
        <v>315</v>
      </c>
      <c r="H151" s="17" t="s">
        <v>828</v>
      </c>
      <c r="I151" s="17">
        <v>5</v>
      </c>
      <c r="J151" s="18">
        <f t="shared" si="4"/>
        <v>0</v>
      </c>
      <c r="K151" s="18">
        <f t="shared" si="5"/>
        <v>3</v>
      </c>
      <c r="L151" s="20">
        <f>IF(H151="Shipped",'Capacity &amp; Cost Dashboard'!D27+'Capacity &amp; Cost Dashboard'!D28*D151*INDEX('Capacity &amp; Cost Dashboard'!$C$31:$C$38,MATCH(INDEX(Products!$C$2:$C$31,MATCH(C151,Products!$A$2:$A$31,0)),'Capacity &amp; Cost Dashboard'!$B$31:$B$38,0)),0)</f>
        <v>19.25</v>
      </c>
    </row>
    <row r="152" spans="1:12" ht="18" x14ac:dyDescent="0.2">
      <c r="A152" s="17">
        <v>742</v>
      </c>
      <c r="B152" s="17" t="s">
        <v>857</v>
      </c>
      <c r="C152" s="17" t="s">
        <v>139</v>
      </c>
      <c r="D152" s="17">
        <v>9</v>
      </c>
      <c r="E152" s="17" t="s">
        <v>326</v>
      </c>
      <c r="F152" s="17" t="s">
        <v>311</v>
      </c>
      <c r="G152" s="17" t="s">
        <v>311</v>
      </c>
      <c r="H152" s="17" t="s">
        <v>828</v>
      </c>
      <c r="I152" s="17">
        <v>5</v>
      </c>
      <c r="J152" s="18">
        <f t="shared" si="4"/>
        <v>0</v>
      </c>
      <c r="K152" s="18">
        <f t="shared" si="5"/>
        <v>3</v>
      </c>
      <c r="L152" s="20">
        <f>IF(H152="Shipped",'Capacity &amp; Cost Dashboard'!D27+'Capacity &amp; Cost Dashboard'!D28*D152*INDEX('Capacity &amp; Cost Dashboard'!$C$31:$C$38,MATCH(INDEX(Products!$C$2:$C$31,MATCH(C152,Products!$A$2:$A$31,0)),'Capacity &amp; Cost Dashboard'!$B$31:$B$38,0)),0)</f>
        <v>9.2149999999999999</v>
      </c>
    </row>
    <row r="153" spans="1:12" ht="18" x14ac:dyDescent="0.2">
      <c r="A153" s="17">
        <v>743</v>
      </c>
      <c r="B153" s="17" t="s">
        <v>838</v>
      </c>
      <c r="C153" s="17" t="s">
        <v>127</v>
      </c>
      <c r="D153" s="17">
        <v>9</v>
      </c>
      <c r="E153" s="17" t="s">
        <v>318</v>
      </c>
      <c r="F153" s="17" t="s">
        <v>176</v>
      </c>
      <c r="G153" s="17" t="s">
        <v>176</v>
      </c>
      <c r="H153" s="17" t="s">
        <v>828</v>
      </c>
      <c r="I153" s="17">
        <v>5</v>
      </c>
      <c r="J153" s="18">
        <f t="shared" si="4"/>
        <v>0</v>
      </c>
      <c r="K153" s="18">
        <f t="shared" si="5"/>
        <v>3</v>
      </c>
      <c r="L153" s="20">
        <f>IF(H153="Shipped",'Capacity &amp; Cost Dashboard'!D27+'Capacity &amp; Cost Dashboard'!D28*D153*INDEX('Capacity &amp; Cost Dashboard'!$C$31:$C$38,MATCH(INDEX(Products!$C$2:$C$31,MATCH(C153,Products!$A$2:$A$31,0)),'Capacity &amp; Cost Dashboard'!$B$31:$B$38,0)),0)</f>
        <v>16.100000000000001</v>
      </c>
    </row>
    <row r="154" spans="1:12" ht="18" x14ac:dyDescent="0.2">
      <c r="A154" s="17">
        <v>744</v>
      </c>
      <c r="B154" s="17" t="s">
        <v>840</v>
      </c>
      <c r="C154" s="17" t="s">
        <v>156</v>
      </c>
      <c r="D154" s="17">
        <v>2</v>
      </c>
      <c r="E154" s="17" t="s">
        <v>273</v>
      </c>
      <c r="F154" s="17" t="s">
        <v>315</v>
      </c>
      <c r="G154" s="17" t="s">
        <v>315</v>
      </c>
      <c r="H154" s="17" t="s">
        <v>828</v>
      </c>
      <c r="I154" s="17">
        <v>5</v>
      </c>
      <c r="J154" s="18">
        <f t="shared" si="4"/>
        <v>0</v>
      </c>
      <c r="K154" s="18">
        <f t="shared" si="5"/>
        <v>3</v>
      </c>
      <c r="L154" s="20">
        <f>IF(H154="Shipped",'Capacity &amp; Cost Dashboard'!D27+'Capacity &amp; Cost Dashboard'!D28*D154*INDEX('Capacity &amp; Cost Dashboard'!$C$31:$C$38,MATCH(INDEX(Products!$C$2:$C$31,MATCH(C154,Products!$A$2:$A$31,0)),'Capacity &amp; Cost Dashboard'!$B$31:$B$38,0)),0)</f>
        <v>10.7</v>
      </c>
    </row>
    <row r="155" spans="1:12" ht="18" x14ac:dyDescent="0.2">
      <c r="A155" s="17">
        <v>745</v>
      </c>
      <c r="B155" s="17" t="s">
        <v>831</v>
      </c>
      <c r="C155" s="17" t="s">
        <v>149</v>
      </c>
      <c r="D155" s="17">
        <v>5</v>
      </c>
      <c r="E155" s="17" t="s">
        <v>175</v>
      </c>
      <c r="F155" s="17" t="s">
        <v>300</v>
      </c>
      <c r="G155" s="17" t="s">
        <v>326</v>
      </c>
      <c r="H155" s="17" t="s">
        <v>828</v>
      </c>
      <c r="I155" s="17">
        <v>5</v>
      </c>
      <c r="J155" s="18">
        <f t="shared" si="4"/>
        <v>0</v>
      </c>
      <c r="K155" s="18">
        <f t="shared" si="5"/>
        <v>3</v>
      </c>
      <c r="L155" s="20">
        <f>IF(H155="Shipped",'Capacity &amp; Cost Dashboard'!D27+'Capacity &amp; Cost Dashboard'!D28*D155*INDEX('Capacity &amp; Cost Dashboard'!$C$31:$C$38,MATCH(INDEX(Products!$C$2:$C$31,MATCH(C155,Products!$A$2:$A$31,0)),'Capacity &amp; Cost Dashboard'!$B$31:$B$38,0)),0)</f>
        <v>11.375</v>
      </c>
    </row>
    <row r="156" spans="1:12" ht="18" x14ac:dyDescent="0.2">
      <c r="A156" s="17">
        <v>746</v>
      </c>
      <c r="B156" s="17" t="s">
        <v>853</v>
      </c>
      <c r="C156" s="17" t="s">
        <v>98</v>
      </c>
      <c r="D156" s="17">
        <v>5</v>
      </c>
      <c r="E156" s="17" t="s">
        <v>326</v>
      </c>
      <c r="F156" s="17" t="s">
        <v>295</v>
      </c>
      <c r="G156" s="17" t="s">
        <v>176</v>
      </c>
      <c r="H156" s="17" t="s">
        <v>828</v>
      </c>
      <c r="I156" s="17">
        <v>5</v>
      </c>
      <c r="J156" s="18">
        <f t="shared" si="4"/>
        <v>0</v>
      </c>
      <c r="K156" s="18">
        <f t="shared" si="5"/>
        <v>3</v>
      </c>
      <c r="L156" s="20" t="e">
        <f>IF(H156="Shipped",'Capacity &amp; Cost Dashboard'!D27+'Capacity &amp; Cost Dashboard'!D28*D156*INDEX('Capacity &amp; Cost Dashboard'!$C$31:$C$38,MATCH(INDEX(Products!$C$2:$C$31,MATCH(C156,Products!$A$2:$A$31,0)),'Capacity &amp; Cost Dashboard'!$B$31:$B$38,0)),0)</f>
        <v>#N/A</v>
      </c>
    </row>
    <row r="157" spans="1:12" ht="18" x14ac:dyDescent="0.2">
      <c r="A157" s="17">
        <v>747</v>
      </c>
      <c r="B157" s="17" t="s">
        <v>834</v>
      </c>
      <c r="C157" s="17" t="s">
        <v>141</v>
      </c>
      <c r="D157" s="17">
        <v>13</v>
      </c>
      <c r="E157" s="17" t="s">
        <v>321</v>
      </c>
      <c r="F157" s="17" t="s">
        <v>295</v>
      </c>
      <c r="G157" s="17" t="s">
        <v>176</v>
      </c>
      <c r="H157" s="17" t="s">
        <v>828</v>
      </c>
      <c r="I157" s="17">
        <v>5</v>
      </c>
      <c r="J157" s="18">
        <f t="shared" si="4"/>
        <v>0</v>
      </c>
      <c r="K157" s="18">
        <f t="shared" si="5"/>
        <v>3</v>
      </c>
      <c r="L157" s="20">
        <f>IF(H157="Shipped",'Capacity &amp; Cost Dashboard'!D27+'Capacity &amp; Cost Dashboard'!D28*D157*INDEX('Capacity &amp; Cost Dashboard'!$C$31:$C$38,MATCH(INDEX(Products!$C$2:$C$31,MATCH(C157,Products!$A$2:$A$31,0)),'Capacity &amp; Cost Dashboard'!$B$31:$B$38,0)),0)</f>
        <v>9.7550000000000008</v>
      </c>
    </row>
    <row r="158" spans="1:12" ht="18" x14ac:dyDescent="0.2">
      <c r="A158" s="17">
        <v>748</v>
      </c>
      <c r="B158" s="17" t="s">
        <v>830</v>
      </c>
      <c r="C158" s="17" t="s">
        <v>120</v>
      </c>
      <c r="D158" s="17">
        <v>8</v>
      </c>
      <c r="E158" s="17" t="s">
        <v>273</v>
      </c>
      <c r="F158" s="17" t="s">
        <v>315</v>
      </c>
      <c r="G158" s="17" t="s">
        <v>315</v>
      </c>
      <c r="H158" s="17" t="s">
        <v>828</v>
      </c>
      <c r="I158" s="17">
        <v>5</v>
      </c>
      <c r="J158" s="18">
        <f t="shared" si="4"/>
        <v>0</v>
      </c>
      <c r="K158" s="18">
        <f t="shared" si="5"/>
        <v>3</v>
      </c>
      <c r="L158" s="20">
        <f>IF(H158="Shipped",'Capacity &amp; Cost Dashboard'!D27+'Capacity &amp; Cost Dashboard'!D28*D158*INDEX('Capacity &amp; Cost Dashboard'!$C$31:$C$38,MATCH(INDEX(Products!$C$2:$C$31,MATCH(C158,Products!$A$2:$A$31,0)),'Capacity &amp; Cost Dashboard'!$B$31:$B$38,0)),0)</f>
        <v>11.6</v>
      </c>
    </row>
    <row r="159" spans="1:12" ht="18" x14ac:dyDescent="0.2">
      <c r="A159" s="17">
        <v>749</v>
      </c>
      <c r="B159" s="17" t="s">
        <v>850</v>
      </c>
      <c r="C159" s="17" t="s">
        <v>145</v>
      </c>
      <c r="D159" s="17">
        <v>19</v>
      </c>
      <c r="E159" s="17" t="s">
        <v>273</v>
      </c>
      <c r="F159" s="17" t="s">
        <v>315</v>
      </c>
      <c r="G159" s="17" t="s">
        <v>300</v>
      </c>
      <c r="H159" s="17" t="s">
        <v>828</v>
      </c>
      <c r="I159" s="17">
        <v>5</v>
      </c>
      <c r="J159" s="18">
        <f t="shared" si="4"/>
        <v>0</v>
      </c>
      <c r="K159" s="18">
        <f t="shared" si="5"/>
        <v>3</v>
      </c>
      <c r="L159" s="20">
        <f>IF(H159="Shipped",'Capacity &amp; Cost Dashboard'!D27+'Capacity &amp; Cost Dashboard'!D28*D159*INDEX('Capacity &amp; Cost Dashboard'!$C$31:$C$38,MATCH(INDEX(Products!$C$2:$C$31,MATCH(C159,Products!$A$2:$A$31,0)),'Capacity &amp; Cost Dashboard'!$B$31:$B$38,0)),0)</f>
        <v>10.565</v>
      </c>
    </row>
    <row r="160" spans="1:12" ht="18" x14ac:dyDescent="0.2">
      <c r="A160" s="17">
        <v>750</v>
      </c>
      <c r="B160" s="17" t="s">
        <v>841</v>
      </c>
      <c r="C160" s="17" t="s">
        <v>159</v>
      </c>
      <c r="D160" s="17">
        <v>2</v>
      </c>
      <c r="E160" s="17" t="s">
        <v>273</v>
      </c>
      <c r="F160" s="17" t="s">
        <v>315</v>
      </c>
      <c r="G160" s="17" t="s">
        <v>315</v>
      </c>
      <c r="H160" s="17" t="s">
        <v>828</v>
      </c>
      <c r="I160" s="17">
        <v>5</v>
      </c>
      <c r="J160" s="18">
        <f t="shared" si="4"/>
        <v>0</v>
      </c>
      <c r="K160" s="18">
        <f t="shared" si="5"/>
        <v>3</v>
      </c>
      <c r="L160" s="20">
        <f>IF(H160="Shipped",'Capacity &amp; Cost Dashboard'!D27+'Capacity &amp; Cost Dashboard'!D28*D160*INDEX('Capacity &amp; Cost Dashboard'!$C$31:$C$38,MATCH(INDEX(Products!$C$2:$C$31,MATCH(C160,Products!$A$2:$A$31,0)),'Capacity &amp; Cost Dashboard'!$B$31:$B$38,0)),0)</f>
        <v>10.7</v>
      </c>
    </row>
    <row r="161" spans="1:12" ht="18" x14ac:dyDescent="0.2">
      <c r="A161" s="17">
        <v>751</v>
      </c>
      <c r="B161" s="17" t="s">
        <v>856</v>
      </c>
      <c r="C161" s="17" t="s">
        <v>95</v>
      </c>
      <c r="D161" s="17">
        <v>24</v>
      </c>
      <c r="E161" s="17" t="s">
        <v>175</v>
      </c>
      <c r="F161" s="17" t="s">
        <v>300</v>
      </c>
      <c r="G161" s="17" t="s">
        <v>326</v>
      </c>
      <c r="H161" s="17" t="s">
        <v>828</v>
      </c>
      <c r="I161" s="17">
        <v>5</v>
      </c>
      <c r="J161" s="18">
        <f t="shared" si="4"/>
        <v>0</v>
      </c>
      <c r="K161" s="18">
        <f t="shared" si="5"/>
        <v>3</v>
      </c>
      <c r="L161" s="20" t="e">
        <f>IF(H161="Shipped",'Capacity &amp; Cost Dashboard'!D27+'Capacity &amp; Cost Dashboard'!D28*D161*INDEX('Capacity &amp; Cost Dashboard'!$C$31:$C$38,MATCH(INDEX(Products!$C$2:$C$31,MATCH(C161,Products!$A$2:$A$31,0)),'Capacity &amp; Cost Dashboard'!$B$31:$B$38,0)),0)</f>
        <v>#N/A</v>
      </c>
    </row>
    <row r="162" spans="1:12" ht="18" x14ac:dyDescent="0.2">
      <c r="A162" s="17">
        <v>752</v>
      </c>
      <c r="B162" s="17" t="s">
        <v>834</v>
      </c>
      <c r="C162" s="17" t="s">
        <v>123</v>
      </c>
      <c r="D162" s="17">
        <v>13</v>
      </c>
      <c r="E162" s="17" t="s">
        <v>326</v>
      </c>
      <c r="F162" s="17" t="s">
        <v>311</v>
      </c>
      <c r="G162" s="17" t="s">
        <v>295</v>
      </c>
      <c r="H162" s="17" t="s">
        <v>828</v>
      </c>
      <c r="I162" s="17">
        <v>4</v>
      </c>
      <c r="J162" s="18">
        <f t="shared" si="4"/>
        <v>0</v>
      </c>
      <c r="K162" s="18">
        <f t="shared" si="5"/>
        <v>3</v>
      </c>
      <c r="L162" s="20">
        <f>IF(H162="Shipped",'Capacity &amp; Cost Dashboard'!D27+'Capacity &amp; Cost Dashboard'!D28*D162*INDEX('Capacity &amp; Cost Dashboard'!$C$31:$C$38,MATCH(INDEX(Products!$C$2:$C$31,MATCH(C162,Products!$A$2:$A$31,0)),'Capacity &amp; Cost Dashboard'!$B$31:$B$38,0)),0)</f>
        <v>13.850000000000001</v>
      </c>
    </row>
    <row r="163" spans="1:12" ht="18" x14ac:dyDescent="0.2">
      <c r="A163" s="17">
        <v>753</v>
      </c>
      <c r="B163" s="17" t="s">
        <v>848</v>
      </c>
      <c r="C163" s="17" t="s">
        <v>95</v>
      </c>
      <c r="D163" s="17">
        <v>33</v>
      </c>
      <c r="E163" s="17" t="s">
        <v>175</v>
      </c>
      <c r="F163" s="17" t="s">
        <v>300</v>
      </c>
      <c r="G163" s="17" t="s">
        <v>311</v>
      </c>
      <c r="H163" s="17" t="s">
        <v>828</v>
      </c>
      <c r="I163" s="17">
        <v>2</v>
      </c>
      <c r="J163" s="18">
        <f t="shared" si="4"/>
        <v>1</v>
      </c>
      <c r="K163" s="18">
        <f t="shared" si="5"/>
        <v>3</v>
      </c>
      <c r="L163" s="20" t="e">
        <f>IF(H163="Shipped",'Capacity &amp; Cost Dashboard'!D27+'Capacity &amp; Cost Dashboard'!D28*D163*INDEX('Capacity &amp; Cost Dashboard'!$C$31:$C$38,MATCH(INDEX(Products!$C$2:$C$31,MATCH(C163,Products!$A$2:$A$31,0)),'Capacity &amp; Cost Dashboard'!$B$31:$B$38,0)),0)</f>
        <v>#N/A</v>
      </c>
    </row>
    <row r="164" spans="1:12" ht="18" x14ac:dyDescent="0.2">
      <c r="A164" s="17">
        <v>754</v>
      </c>
      <c r="B164" s="17" t="s">
        <v>852</v>
      </c>
      <c r="C164" s="17" t="s">
        <v>161</v>
      </c>
      <c r="D164" s="17">
        <v>4</v>
      </c>
      <c r="E164" s="17" t="s">
        <v>326</v>
      </c>
      <c r="F164" s="17" t="s">
        <v>311</v>
      </c>
      <c r="G164" s="17" t="s">
        <v>311</v>
      </c>
      <c r="H164" s="17" t="s">
        <v>828</v>
      </c>
      <c r="I164" s="17">
        <v>5</v>
      </c>
      <c r="J164" s="18">
        <f t="shared" si="4"/>
        <v>0</v>
      </c>
      <c r="K164" s="18">
        <f t="shared" si="5"/>
        <v>3</v>
      </c>
      <c r="L164" s="20">
        <f>IF(H164="Shipped",'Capacity &amp; Cost Dashboard'!D27+'Capacity &amp; Cost Dashboard'!D28*D164*INDEX('Capacity &amp; Cost Dashboard'!$C$31:$C$38,MATCH(INDEX(Products!$C$2:$C$31,MATCH(C164,Products!$A$2:$A$31,0)),'Capacity &amp; Cost Dashboard'!$B$31:$B$38,0)),0)</f>
        <v>13.4</v>
      </c>
    </row>
    <row r="165" spans="1:12" ht="18" x14ac:dyDescent="0.2">
      <c r="A165" s="17">
        <v>755</v>
      </c>
      <c r="B165" s="17" t="s">
        <v>857</v>
      </c>
      <c r="C165" s="17" t="s">
        <v>136</v>
      </c>
      <c r="D165" s="17">
        <v>38</v>
      </c>
      <c r="E165" s="17" t="s">
        <v>326</v>
      </c>
      <c r="F165" s="17" t="s">
        <v>311</v>
      </c>
      <c r="G165" s="17" t="s">
        <v>295</v>
      </c>
      <c r="H165" s="17" t="s">
        <v>828</v>
      </c>
      <c r="I165" s="17">
        <v>4</v>
      </c>
      <c r="J165" s="18">
        <f t="shared" si="4"/>
        <v>0</v>
      </c>
      <c r="K165" s="18">
        <f t="shared" si="5"/>
        <v>3</v>
      </c>
      <c r="L165" s="20">
        <f>IF(H165="Shipped",'Capacity &amp; Cost Dashboard'!D27+'Capacity &amp; Cost Dashboard'!D28*D165*INDEX('Capacity &amp; Cost Dashboard'!$C$31:$C$38,MATCH(INDEX(Products!$C$2:$C$31,MATCH(C165,Products!$A$2:$A$31,0)),'Capacity &amp; Cost Dashboard'!$B$31:$B$38,0)),0)</f>
        <v>13.129999999999999</v>
      </c>
    </row>
    <row r="166" spans="1:12" ht="18" x14ac:dyDescent="0.2">
      <c r="A166" s="17">
        <v>756</v>
      </c>
      <c r="B166" s="17" t="s">
        <v>851</v>
      </c>
      <c r="C166" s="17" t="s">
        <v>95</v>
      </c>
      <c r="D166" s="17">
        <v>8</v>
      </c>
      <c r="E166" s="17" t="s">
        <v>273</v>
      </c>
      <c r="F166" s="17" t="s">
        <v>300</v>
      </c>
      <c r="G166" s="17" t="s">
        <v>300</v>
      </c>
      <c r="H166" s="17" t="s">
        <v>828</v>
      </c>
      <c r="I166" s="17">
        <v>5</v>
      </c>
      <c r="J166" s="18">
        <f t="shared" si="4"/>
        <v>0</v>
      </c>
      <c r="K166" s="18">
        <f t="shared" si="5"/>
        <v>3</v>
      </c>
      <c r="L166" s="20" t="e">
        <f>IF(H166="Shipped",'Capacity &amp; Cost Dashboard'!D27+'Capacity &amp; Cost Dashboard'!D28*D166*INDEX('Capacity &amp; Cost Dashboard'!$C$31:$C$38,MATCH(INDEX(Products!$C$2:$C$31,MATCH(C166,Products!$A$2:$A$31,0)),'Capacity &amp; Cost Dashboard'!$B$31:$B$38,0)),0)</f>
        <v>#N/A</v>
      </c>
    </row>
    <row r="167" spans="1:12" ht="18" x14ac:dyDescent="0.2">
      <c r="A167" s="17">
        <v>757</v>
      </c>
      <c r="B167" s="17" t="s">
        <v>829</v>
      </c>
      <c r="C167" s="17" t="s">
        <v>130</v>
      </c>
      <c r="D167" s="17">
        <v>13</v>
      </c>
      <c r="E167" s="17" t="s">
        <v>175</v>
      </c>
      <c r="F167" s="17" t="s">
        <v>300</v>
      </c>
      <c r="G167" s="17" t="s">
        <v>326</v>
      </c>
      <c r="H167" s="17" t="s">
        <v>828</v>
      </c>
      <c r="I167" s="17">
        <v>5</v>
      </c>
      <c r="J167" s="18">
        <f t="shared" si="4"/>
        <v>0</v>
      </c>
      <c r="K167" s="18">
        <f t="shared" si="5"/>
        <v>3</v>
      </c>
      <c r="L167" s="20">
        <f>IF(H167="Shipped",'Capacity &amp; Cost Dashboard'!D27+'Capacity &amp; Cost Dashboard'!D28*D167*INDEX('Capacity &amp; Cost Dashboard'!$C$31:$C$38,MATCH(INDEX(Products!$C$2:$C$31,MATCH(C167,Products!$A$2:$A$31,0)),'Capacity &amp; Cost Dashboard'!$B$31:$B$38,0)),0)</f>
        <v>19.700000000000003</v>
      </c>
    </row>
    <row r="168" spans="1:12" ht="18" x14ac:dyDescent="0.2">
      <c r="A168" s="17">
        <v>758</v>
      </c>
      <c r="B168" s="17" t="s">
        <v>847</v>
      </c>
      <c r="C168" s="17" t="s">
        <v>156</v>
      </c>
      <c r="D168" s="17">
        <v>1</v>
      </c>
      <c r="E168" s="17" t="s">
        <v>273</v>
      </c>
      <c r="F168" s="17" t="s">
        <v>300</v>
      </c>
      <c r="G168" s="17" t="s">
        <v>300</v>
      </c>
      <c r="H168" s="17" t="s">
        <v>828</v>
      </c>
      <c r="I168" s="17">
        <v>5</v>
      </c>
      <c r="J168" s="18">
        <f t="shared" si="4"/>
        <v>0</v>
      </c>
      <c r="K168" s="18">
        <f t="shared" si="5"/>
        <v>3</v>
      </c>
      <c r="L168" s="20">
        <f>IF(H168="Shipped",'Capacity &amp; Cost Dashboard'!D27+'Capacity &amp; Cost Dashboard'!D28*D168*INDEX('Capacity &amp; Cost Dashboard'!$C$31:$C$38,MATCH(INDEX(Products!$C$2:$C$31,MATCH(C168,Products!$A$2:$A$31,0)),'Capacity &amp; Cost Dashboard'!$B$31:$B$38,0)),0)</f>
        <v>9.35</v>
      </c>
    </row>
    <row r="169" spans="1:12" ht="18" x14ac:dyDescent="0.2">
      <c r="A169" s="17">
        <v>759</v>
      </c>
      <c r="B169" s="17" t="s">
        <v>846</v>
      </c>
      <c r="C169" s="17" t="s">
        <v>125</v>
      </c>
      <c r="D169" s="17">
        <v>5</v>
      </c>
      <c r="E169" s="17" t="s">
        <v>273</v>
      </c>
      <c r="F169" s="17" t="s">
        <v>315</v>
      </c>
      <c r="G169" s="17" t="s">
        <v>300</v>
      </c>
      <c r="H169" s="17" t="s">
        <v>828</v>
      </c>
      <c r="I169" s="17">
        <v>5</v>
      </c>
      <c r="J169" s="18">
        <f t="shared" si="4"/>
        <v>0</v>
      </c>
      <c r="K169" s="18">
        <f t="shared" si="5"/>
        <v>3</v>
      </c>
      <c r="L169" s="20">
        <f>IF(H169="Shipped",'Capacity &amp; Cost Dashboard'!D27+'Capacity &amp; Cost Dashboard'!D28*D169*INDEX('Capacity &amp; Cost Dashboard'!$C$31:$C$38,MATCH(INDEX(Products!$C$2:$C$31,MATCH(C169,Products!$A$2:$A$31,0)),'Capacity &amp; Cost Dashboard'!$B$31:$B$38,0)),0)</f>
        <v>10.25</v>
      </c>
    </row>
    <row r="170" spans="1:12" ht="18" x14ac:dyDescent="0.2">
      <c r="A170" s="17">
        <v>760</v>
      </c>
      <c r="B170" s="17" t="s">
        <v>840</v>
      </c>
      <c r="C170" s="17" t="s">
        <v>159</v>
      </c>
      <c r="D170" s="17">
        <v>1</v>
      </c>
      <c r="E170" s="17" t="s">
        <v>318</v>
      </c>
      <c r="F170" s="17" t="s">
        <v>176</v>
      </c>
      <c r="G170" s="17" t="s">
        <v>312</v>
      </c>
      <c r="H170" s="17" t="s">
        <v>828</v>
      </c>
      <c r="I170" s="17">
        <v>4</v>
      </c>
      <c r="J170" s="18">
        <f t="shared" si="4"/>
        <v>1</v>
      </c>
      <c r="K170" s="18">
        <f t="shared" si="5"/>
        <v>3</v>
      </c>
      <c r="L170" s="20">
        <f>IF(H170="Shipped",'Capacity &amp; Cost Dashboard'!D27+'Capacity &amp; Cost Dashboard'!D28*D170*INDEX('Capacity &amp; Cost Dashboard'!$C$31:$C$38,MATCH(INDEX(Products!$C$2:$C$31,MATCH(C170,Products!$A$2:$A$31,0)),'Capacity &amp; Cost Dashboard'!$B$31:$B$38,0)),0)</f>
        <v>9.35</v>
      </c>
    </row>
    <row r="171" spans="1:12" ht="18" x14ac:dyDescent="0.2">
      <c r="A171" s="17">
        <v>761</v>
      </c>
      <c r="B171" s="17" t="s">
        <v>840</v>
      </c>
      <c r="C171" s="17" t="s">
        <v>123</v>
      </c>
      <c r="D171" s="17">
        <v>4</v>
      </c>
      <c r="E171" s="17" t="s">
        <v>326</v>
      </c>
      <c r="F171" s="17" t="s">
        <v>311</v>
      </c>
      <c r="G171" s="17" t="s">
        <v>295</v>
      </c>
      <c r="H171" s="17" t="s">
        <v>828</v>
      </c>
      <c r="I171" s="17">
        <v>5</v>
      </c>
      <c r="J171" s="18">
        <f t="shared" si="4"/>
        <v>0</v>
      </c>
      <c r="K171" s="18">
        <f t="shared" si="5"/>
        <v>3</v>
      </c>
      <c r="L171" s="20">
        <f>IF(H171="Shipped",'Capacity &amp; Cost Dashboard'!D27+'Capacity &amp; Cost Dashboard'!D28*D171*INDEX('Capacity &amp; Cost Dashboard'!$C$31:$C$38,MATCH(INDEX(Products!$C$2:$C$31,MATCH(C171,Products!$A$2:$A$31,0)),'Capacity &amp; Cost Dashboard'!$B$31:$B$38,0)),0)</f>
        <v>9.8000000000000007</v>
      </c>
    </row>
    <row r="172" spans="1:12" ht="18" x14ac:dyDescent="0.2">
      <c r="A172" s="17">
        <v>762</v>
      </c>
      <c r="B172" s="17" t="s">
        <v>854</v>
      </c>
      <c r="C172" s="17" t="s">
        <v>136</v>
      </c>
      <c r="D172" s="17">
        <v>39</v>
      </c>
      <c r="E172" s="17" t="s">
        <v>318</v>
      </c>
      <c r="F172" s="17" t="s">
        <v>315</v>
      </c>
      <c r="G172" s="17" t="s">
        <v>315</v>
      </c>
      <c r="H172" s="17" t="s">
        <v>828</v>
      </c>
      <c r="I172" s="17">
        <v>4</v>
      </c>
      <c r="J172" s="18">
        <f t="shared" si="4"/>
        <v>0</v>
      </c>
      <c r="K172" s="18">
        <f t="shared" si="5"/>
        <v>3</v>
      </c>
      <c r="L172" s="20">
        <f>IF(H172="Shipped",'Capacity &amp; Cost Dashboard'!D27+'Capacity &amp; Cost Dashboard'!D28*D172*INDEX('Capacity &amp; Cost Dashboard'!$C$31:$C$38,MATCH(INDEX(Products!$C$2:$C$31,MATCH(C172,Products!$A$2:$A$31,0)),'Capacity &amp; Cost Dashboard'!$B$31:$B$38,0)),0)</f>
        <v>13.265000000000001</v>
      </c>
    </row>
    <row r="173" spans="1:12" ht="18" x14ac:dyDescent="0.2">
      <c r="A173" s="17">
        <v>763</v>
      </c>
      <c r="B173" s="17" t="s">
        <v>857</v>
      </c>
      <c r="C173" s="17" t="s">
        <v>130</v>
      </c>
      <c r="D173" s="17">
        <v>5</v>
      </c>
      <c r="E173" s="17" t="s">
        <v>318</v>
      </c>
      <c r="F173" s="17" t="s">
        <v>176</v>
      </c>
      <c r="G173" s="17" t="s">
        <v>176</v>
      </c>
      <c r="H173" s="17" t="s">
        <v>828</v>
      </c>
      <c r="I173" s="17">
        <v>4</v>
      </c>
      <c r="J173" s="18">
        <f t="shared" si="4"/>
        <v>0</v>
      </c>
      <c r="K173" s="18">
        <f t="shared" si="5"/>
        <v>3</v>
      </c>
      <c r="L173" s="20">
        <f>IF(H173="Shipped",'Capacity &amp; Cost Dashboard'!D27+'Capacity &amp; Cost Dashboard'!D28*D173*INDEX('Capacity &amp; Cost Dashboard'!$C$31:$C$38,MATCH(INDEX(Products!$C$2:$C$31,MATCH(C173,Products!$A$2:$A$31,0)),'Capacity &amp; Cost Dashboard'!$B$31:$B$38,0)),0)</f>
        <v>12.5</v>
      </c>
    </row>
    <row r="174" spans="1:12" ht="18" x14ac:dyDescent="0.2">
      <c r="A174" s="17">
        <v>764</v>
      </c>
      <c r="B174" s="17" t="s">
        <v>852</v>
      </c>
      <c r="C174" s="17" t="s">
        <v>143</v>
      </c>
      <c r="D174" s="17">
        <v>2</v>
      </c>
      <c r="E174" s="17" t="s">
        <v>321</v>
      </c>
      <c r="F174" s="17" t="s">
        <v>295</v>
      </c>
      <c r="G174" s="17" t="s">
        <v>295</v>
      </c>
      <c r="H174" s="17" t="s">
        <v>828</v>
      </c>
      <c r="I174" s="17">
        <v>5</v>
      </c>
      <c r="J174" s="18">
        <f t="shared" si="4"/>
        <v>0</v>
      </c>
      <c r="K174" s="18">
        <f t="shared" si="5"/>
        <v>3</v>
      </c>
      <c r="L174" s="20">
        <f>IF(H174="Shipped",'Capacity &amp; Cost Dashboard'!D27+'Capacity &amp; Cost Dashboard'!D28*D174*INDEX('Capacity &amp; Cost Dashboard'!$C$31:$C$38,MATCH(INDEX(Products!$C$2:$C$31,MATCH(C174,Products!$A$2:$A$31,0)),'Capacity &amp; Cost Dashboard'!$B$31:$B$38,0)),0)</f>
        <v>8.27</v>
      </c>
    </row>
    <row r="175" spans="1:12" ht="18" x14ac:dyDescent="0.2">
      <c r="A175" s="17">
        <v>765</v>
      </c>
      <c r="B175" s="17" t="s">
        <v>857</v>
      </c>
      <c r="C175" s="17" t="s">
        <v>136</v>
      </c>
      <c r="D175" s="17">
        <v>41</v>
      </c>
      <c r="E175" s="17" t="s">
        <v>321</v>
      </c>
      <c r="F175" s="17" t="s">
        <v>295</v>
      </c>
      <c r="G175" s="17" t="s">
        <v>360</v>
      </c>
      <c r="H175" s="17" t="s">
        <v>828</v>
      </c>
      <c r="I175" s="17">
        <v>2</v>
      </c>
      <c r="J175" s="18">
        <f t="shared" si="4"/>
        <v>1</v>
      </c>
      <c r="K175" s="18">
        <f t="shared" si="5"/>
        <v>3</v>
      </c>
      <c r="L175" s="20">
        <f>IF(H175="Shipped",'Capacity &amp; Cost Dashboard'!D27+'Capacity &amp; Cost Dashboard'!D28*D175*INDEX('Capacity &amp; Cost Dashboard'!$C$31:$C$38,MATCH(INDEX(Products!$C$2:$C$31,MATCH(C175,Products!$A$2:$A$31,0)),'Capacity &amp; Cost Dashboard'!$B$31:$B$38,0)),0)</f>
        <v>13.535</v>
      </c>
    </row>
    <row r="176" spans="1:12" ht="18" x14ac:dyDescent="0.2">
      <c r="A176" s="17">
        <v>766</v>
      </c>
      <c r="B176" s="17" t="s">
        <v>846</v>
      </c>
      <c r="C176" s="17" t="s">
        <v>141</v>
      </c>
      <c r="D176" s="17">
        <v>7</v>
      </c>
      <c r="E176" s="17" t="s">
        <v>273</v>
      </c>
      <c r="F176" s="17" t="s">
        <v>300</v>
      </c>
      <c r="G176" s="17" t="s">
        <v>326</v>
      </c>
      <c r="H176" s="17" t="s">
        <v>828</v>
      </c>
      <c r="I176" s="17">
        <v>5</v>
      </c>
      <c r="J176" s="18">
        <f t="shared" si="4"/>
        <v>0</v>
      </c>
      <c r="K176" s="18">
        <f t="shared" si="5"/>
        <v>3</v>
      </c>
      <c r="L176" s="20">
        <f>IF(H176="Shipped",'Capacity &amp; Cost Dashboard'!D27+'Capacity &amp; Cost Dashboard'!D28*D176*INDEX('Capacity &amp; Cost Dashboard'!$C$31:$C$38,MATCH(INDEX(Products!$C$2:$C$31,MATCH(C176,Products!$A$2:$A$31,0)),'Capacity &amp; Cost Dashboard'!$B$31:$B$38,0)),0)</f>
        <v>8.9450000000000003</v>
      </c>
    </row>
    <row r="177" spans="1:12" ht="18" x14ac:dyDescent="0.2">
      <c r="A177" s="17">
        <v>767</v>
      </c>
      <c r="B177" s="17" t="s">
        <v>848</v>
      </c>
      <c r="C177" s="17" t="s">
        <v>161</v>
      </c>
      <c r="D177" s="17">
        <v>6</v>
      </c>
      <c r="E177" s="17" t="s">
        <v>318</v>
      </c>
      <c r="F177" s="17" t="s">
        <v>300</v>
      </c>
      <c r="G177" s="17" t="s">
        <v>326</v>
      </c>
      <c r="H177" s="17" t="s">
        <v>828</v>
      </c>
      <c r="I177" s="17">
        <v>4</v>
      </c>
      <c r="J177" s="18">
        <f t="shared" si="4"/>
        <v>0</v>
      </c>
      <c r="K177" s="18">
        <f t="shared" si="5"/>
        <v>3</v>
      </c>
      <c r="L177" s="20">
        <f>IF(H177="Shipped",'Capacity &amp; Cost Dashboard'!D27+'Capacity &amp; Cost Dashboard'!D28*D177*INDEX('Capacity &amp; Cost Dashboard'!$C$31:$C$38,MATCH(INDEX(Products!$C$2:$C$31,MATCH(C177,Products!$A$2:$A$31,0)),'Capacity &amp; Cost Dashboard'!$B$31:$B$38,0)),0)</f>
        <v>16.100000000000001</v>
      </c>
    </row>
    <row r="178" spans="1:12" ht="18" x14ac:dyDescent="0.2">
      <c r="A178" s="17">
        <v>768</v>
      </c>
      <c r="B178" s="17" t="s">
        <v>842</v>
      </c>
      <c r="C178" s="17" t="s">
        <v>125</v>
      </c>
      <c r="D178" s="17">
        <v>13</v>
      </c>
      <c r="E178" s="17" t="s">
        <v>273</v>
      </c>
      <c r="F178" s="17" t="s">
        <v>326</v>
      </c>
      <c r="G178" s="17" t="s">
        <v>321</v>
      </c>
      <c r="H178" s="17" t="s">
        <v>828</v>
      </c>
      <c r="I178" s="17">
        <v>4</v>
      </c>
      <c r="J178" s="18">
        <f t="shared" si="4"/>
        <v>0</v>
      </c>
      <c r="K178" s="18">
        <f t="shared" si="5"/>
        <v>3</v>
      </c>
      <c r="L178" s="20">
        <f>IF(H178="Shipped",'Capacity &amp; Cost Dashboard'!D27+'Capacity &amp; Cost Dashboard'!D28*D178*INDEX('Capacity &amp; Cost Dashboard'!$C$31:$C$38,MATCH(INDEX(Products!$C$2:$C$31,MATCH(C178,Products!$A$2:$A$31,0)),'Capacity &amp; Cost Dashboard'!$B$31:$B$38,0)),0)</f>
        <v>13.850000000000001</v>
      </c>
    </row>
    <row r="179" spans="1:12" ht="18" x14ac:dyDescent="0.2">
      <c r="A179" s="17">
        <v>769</v>
      </c>
      <c r="B179" s="17" t="s">
        <v>843</v>
      </c>
      <c r="C179" s="17" t="s">
        <v>102</v>
      </c>
      <c r="D179" s="17">
        <v>8</v>
      </c>
      <c r="E179" s="17" t="s">
        <v>321</v>
      </c>
      <c r="F179" s="17" t="s">
        <v>295</v>
      </c>
      <c r="G179" s="17" t="s">
        <v>176</v>
      </c>
      <c r="H179" s="17" t="s">
        <v>828</v>
      </c>
      <c r="I179" s="17">
        <v>5</v>
      </c>
      <c r="J179" s="18">
        <f t="shared" si="4"/>
        <v>0</v>
      </c>
      <c r="K179" s="18">
        <f t="shared" si="5"/>
        <v>3</v>
      </c>
      <c r="L179" s="20" t="e">
        <f>IF(H179="Shipped",'Capacity &amp; Cost Dashboard'!D27+'Capacity &amp; Cost Dashboard'!D28*D179*INDEX('Capacity &amp; Cost Dashboard'!$C$31:$C$38,MATCH(INDEX(Products!$C$2:$C$31,MATCH(C179,Products!$A$2:$A$31,0)),'Capacity &amp; Cost Dashboard'!$B$31:$B$38,0)),0)</f>
        <v>#N/A</v>
      </c>
    </row>
    <row r="180" spans="1:12" ht="18" x14ac:dyDescent="0.2">
      <c r="A180" s="17">
        <v>770</v>
      </c>
      <c r="B180" s="17" t="s">
        <v>851</v>
      </c>
      <c r="C180" s="17" t="s">
        <v>147</v>
      </c>
      <c r="D180" s="17">
        <v>11</v>
      </c>
      <c r="E180" s="17" t="s">
        <v>175</v>
      </c>
      <c r="F180" s="17" t="s">
        <v>321</v>
      </c>
      <c r="G180" s="17" t="s">
        <v>321</v>
      </c>
      <c r="H180" s="17" t="s">
        <v>828</v>
      </c>
      <c r="I180" s="17">
        <v>5</v>
      </c>
      <c r="J180" s="18">
        <f t="shared" si="4"/>
        <v>0</v>
      </c>
      <c r="K180" s="18">
        <f t="shared" si="5"/>
        <v>3</v>
      </c>
      <c r="L180" s="20">
        <f>IF(H180="Shipped",'Capacity &amp; Cost Dashboard'!D27+'Capacity &amp; Cost Dashboard'!D28*D180*INDEX('Capacity &amp; Cost Dashboard'!$C$31:$C$38,MATCH(INDEX(Products!$C$2:$C$31,MATCH(C180,Products!$A$2:$A$31,0)),'Capacity &amp; Cost Dashboard'!$B$31:$B$38,0)),0)</f>
        <v>9.4849999999999994</v>
      </c>
    </row>
    <row r="181" spans="1:12" ht="18" x14ac:dyDescent="0.2">
      <c r="A181" s="17">
        <v>771</v>
      </c>
      <c r="B181" s="17" t="s">
        <v>847</v>
      </c>
      <c r="C181" s="17" t="s">
        <v>147</v>
      </c>
      <c r="D181" s="17">
        <v>21</v>
      </c>
      <c r="E181" s="17" t="s">
        <v>326</v>
      </c>
      <c r="F181" s="17" t="s">
        <v>311</v>
      </c>
      <c r="G181" s="17" t="s">
        <v>311</v>
      </c>
      <c r="H181" s="17" t="s">
        <v>828</v>
      </c>
      <c r="I181" s="17">
        <v>5</v>
      </c>
      <c r="J181" s="18">
        <f t="shared" si="4"/>
        <v>0</v>
      </c>
      <c r="K181" s="18">
        <f t="shared" si="5"/>
        <v>3</v>
      </c>
      <c r="L181" s="20">
        <f>IF(H181="Shipped",'Capacity &amp; Cost Dashboard'!D27+'Capacity &amp; Cost Dashboard'!D28*D181*INDEX('Capacity &amp; Cost Dashboard'!$C$31:$C$38,MATCH(INDEX(Products!$C$2:$C$31,MATCH(C181,Products!$A$2:$A$31,0)),'Capacity &amp; Cost Dashboard'!$B$31:$B$38,0)),0)</f>
        <v>10.835000000000001</v>
      </c>
    </row>
    <row r="182" spans="1:12" ht="18" x14ac:dyDescent="0.2">
      <c r="A182" s="17">
        <v>772</v>
      </c>
      <c r="B182" s="17" t="s">
        <v>833</v>
      </c>
      <c r="C182" s="17" t="s">
        <v>156</v>
      </c>
      <c r="D182" s="17">
        <v>5</v>
      </c>
      <c r="E182" s="17" t="s">
        <v>321</v>
      </c>
      <c r="F182" s="17" t="s">
        <v>295</v>
      </c>
      <c r="G182" s="17" t="s">
        <v>371</v>
      </c>
      <c r="H182" s="17" t="s">
        <v>828</v>
      </c>
      <c r="I182" s="17">
        <v>3</v>
      </c>
      <c r="J182" s="18">
        <f t="shared" si="4"/>
        <v>1</v>
      </c>
      <c r="K182" s="18">
        <f t="shared" si="5"/>
        <v>3</v>
      </c>
      <c r="L182" s="20">
        <f>IF(H182="Shipped",'Capacity &amp; Cost Dashboard'!D27+'Capacity &amp; Cost Dashboard'!D28*D182*INDEX('Capacity &amp; Cost Dashboard'!$C$31:$C$38,MATCH(INDEX(Products!$C$2:$C$31,MATCH(C182,Products!$A$2:$A$31,0)),'Capacity &amp; Cost Dashboard'!$B$31:$B$38,0)),0)</f>
        <v>14.75</v>
      </c>
    </row>
    <row r="183" spans="1:12" ht="18" x14ac:dyDescent="0.2">
      <c r="A183" s="17">
        <v>773</v>
      </c>
      <c r="B183" s="17" t="s">
        <v>829</v>
      </c>
      <c r="C183" s="17" t="s">
        <v>136</v>
      </c>
      <c r="D183" s="17">
        <v>38</v>
      </c>
      <c r="E183" s="17" t="s">
        <v>321</v>
      </c>
      <c r="F183" s="17" t="s">
        <v>315</v>
      </c>
      <c r="G183" s="17" t="s">
        <v>315</v>
      </c>
      <c r="H183" s="17" t="s">
        <v>828</v>
      </c>
      <c r="I183" s="17">
        <v>5</v>
      </c>
      <c r="J183" s="18">
        <f t="shared" si="4"/>
        <v>0</v>
      </c>
      <c r="K183" s="18">
        <f t="shared" si="5"/>
        <v>3</v>
      </c>
      <c r="L183" s="20">
        <f>IF(H183="Shipped",'Capacity &amp; Cost Dashboard'!D27+'Capacity &amp; Cost Dashboard'!D28*D183*INDEX('Capacity &amp; Cost Dashboard'!$C$31:$C$38,MATCH(INDEX(Products!$C$2:$C$31,MATCH(C183,Products!$A$2:$A$31,0)),'Capacity &amp; Cost Dashboard'!$B$31:$B$38,0)),0)</f>
        <v>13.129999999999999</v>
      </c>
    </row>
    <row r="184" spans="1:12" ht="18" x14ac:dyDescent="0.2">
      <c r="A184" s="17">
        <v>774</v>
      </c>
      <c r="B184" s="17" t="s">
        <v>834</v>
      </c>
      <c r="C184" s="17" t="s">
        <v>109</v>
      </c>
      <c r="D184" s="17">
        <v>2</v>
      </c>
      <c r="E184" s="17" t="s">
        <v>321</v>
      </c>
      <c r="F184" s="17" t="s">
        <v>295</v>
      </c>
      <c r="G184" s="17" t="s">
        <v>341</v>
      </c>
      <c r="H184" s="17" t="s">
        <v>828</v>
      </c>
      <c r="I184" s="17">
        <v>2</v>
      </c>
      <c r="J184" s="18">
        <f t="shared" si="4"/>
        <v>1</v>
      </c>
      <c r="K184" s="18">
        <f t="shared" si="5"/>
        <v>3</v>
      </c>
      <c r="L184" s="20">
        <f>IF(H184="Shipped",'Capacity &amp; Cost Dashboard'!D27+'Capacity &amp; Cost Dashboard'!D28*D184*INDEX('Capacity &amp; Cost Dashboard'!$C$31:$C$38,MATCH(INDEX(Products!$C$2:$C$31,MATCH(C184,Products!$A$2:$A$31,0)),'Capacity &amp; Cost Dashboard'!$B$31:$B$38,0)),0)</f>
        <v>12.5</v>
      </c>
    </row>
    <row r="185" spans="1:12" ht="18" x14ac:dyDescent="0.2">
      <c r="A185" s="17">
        <v>775</v>
      </c>
      <c r="B185" s="17" t="s">
        <v>835</v>
      </c>
      <c r="C185" s="17" t="s">
        <v>139</v>
      </c>
      <c r="D185" s="17">
        <v>20</v>
      </c>
      <c r="E185" s="17" t="s">
        <v>273</v>
      </c>
      <c r="F185" s="17" t="s">
        <v>326</v>
      </c>
      <c r="G185" s="17" t="s">
        <v>326</v>
      </c>
      <c r="H185" s="17" t="s">
        <v>828</v>
      </c>
      <c r="I185" s="17">
        <v>5</v>
      </c>
      <c r="J185" s="18">
        <f t="shared" si="4"/>
        <v>0</v>
      </c>
      <c r="K185" s="18">
        <f t="shared" si="5"/>
        <v>3</v>
      </c>
      <c r="L185" s="20">
        <f>IF(H185="Shipped",'Capacity &amp; Cost Dashboard'!D27+'Capacity &amp; Cost Dashboard'!D28*D185*INDEX('Capacity &amp; Cost Dashboard'!$C$31:$C$38,MATCH(INDEX(Products!$C$2:$C$31,MATCH(C185,Products!$A$2:$A$31,0)),'Capacity &amp; Cost Dashboard'!$B$31:$B$38,0)),0)</f>
        <v>10.7</v>
      </c>
    </row>
    <row r="186" spans="1:12" ht="18" x14ac:dyDescent="0.2">
      <c r="A186" s="17">
        <v>776</v>
      </c>
      <c r="B186" s="17" t="s">
        <v>848</v>
      </c>
      <c r="C186" s="17" t="s">
        <v>111</v>
      </c>
      <c r="D186" s="17">
        <v>17</v>
      </c>
      <c r="E186" s="17" t="s">
        <v>273</v>
      </c>
      <c r="F186" s="17" t="s">
        <v>300</v>
      </c>
      <c r="G186" s="17" t="s">
        <v>295</v>
      </c>
      <c r="H186" s="17" t="s">
        <v>828</v>
      </c>
      <c r="I186" s="17">
        <v>2</v>
      </c>
      <c r="J186" s="18">
        <f t="shared" si="4"/>
        <v>1</v>
      </c>
      <c r="K186" s="18">
        <f t="shared" si="5"/>
        <v>3</v>
      </c>
      <c r="L186" s="20">
        <f>IF(H186="Shipped",'Capacity &amp; Cost Dashboard'!D27+'Capacity &amp; Cost Dashboard'!D28*D186*INDEX('Capacity &amp; Cost Dashboard'!$C$31:$C$38,MATCH(INDEX(Products!$C$2:$C$31,MATCH(C186,Products!$A$2:$A$31,0)),'Capacity &amp; Cost Dashboard'!$B$31:$B$38,0)),0)</f>
        <v>46.25</v>
      </c>
    </row>
    <row r="187" spans="1:12" ht="18" x14ac:dyDescent="0.2">
      <c r="A187" s="17">
        <v>777</v>
      </c>
      <c r="B187" s="17" t="s">
        <v>836</v>
      </c>
      <c r="C187" s="17" t="s">
        <v>109</v>
      </c>
      <c r="D187" s="17">
        <v>4</v>
      </c>
      <c r="E187" s="17" t="s">
        <v>321</v>
      </c>
      <c r="F187" s="17" t="s">
        <v>295</v>
      </c>
      <c r="G187" s="17" t="s">
        <v>176</v>
      </c>
      <c r="H187" s="17" t="s">
        <v>828</v>
      </c>
      <c r="I187" s="17">
        <v>4</v>
      </c>
      <c r="J187" s="18">
        <f t="shared" si="4"/>
        <v>0</v>
      </c>
      <c r="K187" s="18">
        <f t="shared" si="5"/>
        <v>3</v>
      </c>
      <c r="L187" s="20">
        <f>IF(H187="Shipped",'Capacity &amp; Cost Dashboard'!D27+'Capacity &amp; Cost Dashboard'!D28*D187*INDEX('Capacity &amp; Cost Dashboard'!$C$31:$C$38,MATCH(INDEX(Products!$C$2:$C$31,MATCH(C187,Products!$A$2:$A$31,0)),'Capacity &amp; Cost Dashboard'!$B$31:$B$38,0)),0)</f>
        <v>17</v>
      </c>
    </row>
    <row r="188" spans="1:12" ht="18" x14ac:dyDescent="0.2">
      <c r="A188" s="17">
        <v>778</v>
      </c>
      <c r="B188" s="17" t="s">
        <v>850</v>
      </c>
      <c r="C188" s="17" t="s">
        <v>159</v>
      </c>
      <c r="D188" s="17">
        <v>6</v>
      </c>
      <c r="E188" s="17" t="s">
        <v>175</v>
      </c>
      <c r="F188" s="17" t="s">
        <v>300</v>
      </c>
      <c r="G188" s="17" t="s">
        <v>300</v>
      </c>
      <c r="H188" s="17" t="s">
        <v>828</v>
      </c>
      <c r="I188" s="17">
        <v>4</v>
      </c>
      <c r="J188" s="18">
        <f t="shared" si="4"/>
        <v>0</v>
      </c>
      <c r="K188" s="18">
        <f t="shared" si="5"/>
        <v>3</v>
      </c>
      <c r="L188" s="20">
        <f>IF(H188="Shipped",'Capacity &amp; Cost Dashboard'!D27+'Capacity &amp; Cost Dashboard'!D28*D188*INDEX('Capacity &amp; Cost Dashboard'!$C$31:$C$38,MATCH(INDEX(Products!$C$2:$C$31,MATCH(C188,Products!$A$2:$A$31,0)),'Capacity &amp; Cost Dashboard'!$B$31:$B$38,0)),0)</f>
        <v>16.100000000000001</v>
      </c>
    </row>
    <row r="189" spans="1:12" ht="18" x14ac:dyDescent="0.2">
      <c r="A189" s="17">
        <v>779</v>
      </c>
      <c r="B189" s="17" t="s">
        <v>837</v>
      </c>
      <c r="C189" s="17" t="s">
        <v>152</v>
      </c>
      <c r="D189" s="17">
        <v>3</v>
      </c>
      <c r="E189" s="17" t="s">
        <v>321</v>
      </c>
      <c r="F189" s="17" t="s">
        <v>295</v>
      </c>
      <c r="G189" s="17" t="s">
        <v>341</v>
      </c>
      <c r="H189" s="17" t="s">
        <v>828</v>
      </c>
      <c r="I189" s="17">
        <v>3</v>
      </c>
      <c r="J189" s="18">
        <f t="shared" si="4"/>
        <v>1</v>
      </c>
      <c r="K189" s="18">
        <f t="shared" si="5"/>
        <v>3</v>
      </c>
      <c r="L189" s="20">
        <f>IF(H189="Shipped",'Capacity &amp; Cost Dashboard'!D27+'Capacity &amp; Cost Dashboard'!D28*D189*INDEX('Capacity &amp; Cost Dashboard'!$C$31:$C$38,MATCH(INDEX(Products!$C$2:$C$31,MATCH(C189,Products!$A$2:$A$31,0)),'Capacity &amp; Cost Dashboard'!$B$31:$B$38,0)),0)</f>
        <v>10.025</v>
      </c>
    </row>
    <row r="190" spans="1:12" ht="18" x14ac:dyDescent="0.2">
      <c r="A190" s="17">
        <v>780</v>
      </c>
      <c r="B190" s="17" t="s">
        <v>841</v>
      </c>
      <c r="C190" s="17" t="s">
        <v>159</v>
      </c>
      <c r="D190" s="17">
        <v>4</v>
      </c>
      <c r="E190" s="17" t="s">
        <v>318</v>
      </c>
      <c r="F190" s="17" t="s">
        <v>315</v>
      </c>
      <c r="G190" s="17" t="s">
        <v>315</v>
      </c>
      <c r="H190" s="17" t="s">
        <v>828</v>
      </c>
      <c r="I190" s="17">
        <v>4</v>
      </c>
      <c r="J190" s="18">
        <f t="shared" si="4"/>
        <v>0</v>
      </c>
      <c r="K190" s="18">
        <f t="shared" si="5"/>
        <v>3</v>
      </c>
      <c r="L190" s="20">
        <f>IF(H190="Shipped",'Capacity &amp; Cost Dashboard'!D27+'Capacity &amp; Cost Dashboard'!D28*D190*INDEX('Capacity &amp; Cost Dashboard'!$C$31:$C$38,MATCH(INDEX(Products!$C$2:$C$31,MATCH(C190,Products!$A$2:$A$31,0)),'Capacity &amp; Cost Dashboard'!$B$31:$B$38,0)),0)</f>
        <v>13.4</v>
      </c>
    </row>
    <row r="191" spans="1:12" ht="18" x14ac:dyDescent="0.2">
      <c r="A191" s="17">
        <v>781</v>
      </c>
      <c r="B191" s="17" t="s">
        <v>835</v>
      </c>
      <c r="C191" s="17" t="s">
        <v>107</v>
      </c>
      <c r="D191" s="17">
        <v>10</v>
      </c>
      <c r="E191" s="17" t="s">
        <v>273</v>
      </c>
      <c r="F191" s="17" t="s">
        <v>326</v>
      </c>
      <c r="G191" s="17" t="s">
        <v>321</v>
      </c>
      <c r="H191" s="17" t="s">
        <v>828</v>
      </c>
      <c r="I191" s="17">
        <v>5</v>
      </c>
      <c r="J191" s="18">
        <f t="shared" si="4"/>
        <v>0</v>
      </c>
      <c r="K191" s="18">
        <f t="shared" si="5"/>
        <v>3</v>
      </c>
      <c r="L191" s="20">
        <f>IF(H191="Shipped",'Capacity &amp; Cost Dashboard'!D27+'Capacity &amp; Cost Dashboard'!D28*D191*INDEX('Capacity &amp; Cost Dashboard'!$C$31:$C$38,MATCH(INDEX(Products!$C$2:$C$31,MATCH(C191,Products!$A$2:$A$31,0)),'Capacity &amp; Cost Dashboard'!$B$31:$B$38,0)),0)</f>
        <v>30.5</v>
      </c>
    </row>
    <row r="192" spans="1:12" ht="18" x14ac:dyDescent="0.2">
      <c r="A192" s="17">
        <v>782</v>
      </c>
      <c r="B192" s="17" t="s">
        <v>830</v>
      </c>
      <c r="C192" s="17" t="s">
        <v>145</v>
      </c>
      <c r="D192" s="17">
        <v>10</v>
      </c>
      <c r="E192" s="17" t="s">
        <v>318</v>
      </c>
      <c r="F192" s="17" t="s">
        <v>315</v>
      </c>
      <c r="G192" s="17" t="s">
        <v>315</v>
      </c>
      <c r="H192" s="17" t="s">
        <v>828</v>
      </c>
      <c r="I192" s="17">
        <v>5</v>
      </c>
      <c r="J192" s="18">
        <f t="shared" si="4"/>
        <v>0</v>
      </c>
      <c r="K192" s="18">
        <f t="shared" si="5"/>
        <v>3</v>
      </c>
      <c r="L192" s="20">
        <f>IF(H192="Shipped",'Capacity &amp; Cost Dashboard'!D27+'Capacity &amp; Cost Dashboard'!D28*D192*INDEX('Capacity &amp; Cost Dashboard'!$C$31:$C$38,MATCH(INDEX(Products!$C$2:$C$31,MATCH(C192,Products!$A$2:$A$31,0)),'Capacity &amp; Cost Dashboard'!$B$31:$B$38,0)),0)</f>
        <v>9.35</v>
      </c>
    </row>
    <row r="193" spans="1:12" ht="18" x14ac:dyDescent="0.2">
      <c r="A193" s="17">
        <v>783</v>
      </c>
      <c r="B193" s="17" t="s">
        <v>845</v>
      </c>
      <c r="C193" s="17" t="s">
        <v>134</v>
      </c>
      <c r="D193" s="17">
        <v>3</v>
      </c>
      <c r="E193" s="17" t="s">
        <v>371</v>
      </c>
      <c r="F193" s="17" t="s">
        <v>352</v>
      </c>
      <c r="G193" s="17" t="s">
        <v>355</v>
      </c>
      <c r="H193" s="17" t="s">
        <v>828</v>
      </c>
      <c r="I193" s="17">
        <v>5</v>
      </c>
      <c r="J193" s="18">
        <f t="shared" si="4"/>
        <v>0</v>
      </c>
      <c r="K193" s="18">
        <f t="shared" si="5"/>
        <v>4</v>
      </c>
      <c r="L193" s="20">
        <f>IF(H193="Shipped",'Capacity &amp; Cost Dashboard'!D27+'Capacity &amp; Cost Dashboard'!D28*D193*INDEX('Capacity &amp; Cost Dashboard'!$C$31:$C$38,MATCH(INDEX(Products!$C$2:$C$31,MATCH(C193,Products!$A$2:$A$31,0)),'Capacity &amp; Cost Dashboard'!$B$31:$B$38,0)),0)</f>
        <v>10.7</v>
      </c>
    </row>
    <row r="194" spans="1:12" ht="18" x14ac:dyDescent="0.2">
      <c r="A194" s="17">
        <v>784</v>
      </c>
      <c r="B194" s="17" t="s">
        <v>854</v>
      </c>
      <c r="C194" s="17" t="s">
        <v>156</v>
      </c>
      <c r="D194" s="17">
        <v>8</v>
      </c>
      <c r="E194" s="17" t="s">
        <v>295</v>
      </c>
      <c r="F194" s="17" t="s">
        <v>312</v>
      </c>
      <c r="G194" s="17" t="s">
        <v>371</v>
      </c>
      <c r="H194" s="17" t="s">
        <v>828</v>
      </c>
      <c r="I194" s="17">
        <v>5</v>
      </c>
      <c r="J194" s="18">
        <f t="shared" ref="J194:J257" si="6">IF(H194="Shipped",IF(G194&gt;F194,1,0),"")</f>
        <v>0</v>
      </c>
      <c r="K194" s="18">
        <f t="shared" ref="K194:K257" si="7">INT((DATEVALUE(E194)-DATE(2026,4,6))/7)</f>
        <v>4</v>
      </c>
      <c r="L194" s="20">
        <f>IF(H194="Shipped",'Capacity &amp; Cost Dashboard'!D27+'Capacity &amp; Cost Dashboard'!D28*D194*INDEX('Capacity &amp; Cost Dashboard'!$C$31:$C$38,MATCH(INDEX(Products!$C$2:$C$31,MATCH(C194,Products!$A$2:$A$31,0)),'Capacity &amp; Cost Dashboard'!$B$31:$B$38,0)),0)</f>
        <v>18.8</v>
      </c>
    </row>
    <row r="195" spans="1:12" ht="18" x14ac:dyDescent="0.2">
      <c r="A195" s="17">
        <v>785</v>
      </c>
      <c r="B195" s="17" t="s">
        <v>830</v>
      </c>
      <c r="C195" s="17" t="s">
        <v>132</v>
      </c>
      <c r="D195" s="17">
        <v>9</v>
      </c>
      <c r="E195" s="17" t="s">
        <v>360</v>
      </c>
      <c r="F195" s="17" t="s">
        <v>341</v>
      </c>
      <c r="G195" s="17" t="s">
        <v>312</v>
      </c>
      <c r="H195" s="17" t="s">
        <v>828</v>
      </c>
      <c r="I195" s="17">
        <v>5</v>
      </c>
      <c r="J195" s="18">
        <f t="shared" si="6"/>
        <v>0</v>
      </c>
      <c r="K195" s="18">
        <f t="shared" si="7"/>
        <v>4</v>
      </c>
      <c r="L195" s="20">
        <f>IF(H195="Shipped",'Capacity &amp; Cost Dashboard'!D27+'Capacity &amp; Cost Dashboard'!D28*D195*INDEX('Capacity &amp; Cost Dashboard'!$C$31:$C$38,MATCH(INDEX(Products!$C$2:$C$31,MATCH(C195,Products!$A$2:$A$31,0)),'Capacity &amp; Cost Dashboard'!$B$31:$B$38,0)),0)</f>
        <v>16.100000000000001</v>
      </c>
    </row>
    <row r="196" spans="1:12" ht="18" x14ac:dyDescent="0.2">
      <c r="A196" s="17">
        <v>786</v>
      </c>
      <c r="B196" s="17" t="s">
        <v>843</v>
      </c>
      <c r="C196" s="17" t="s">
        <v>141</v>
      </c>
      <c r="D196" s="17">
        <v>12</v>
      </c>
      <c r="E196" s="17" t="s">
        <v>371</v>
      </c>
      <c r="F196" s="17" t="s">
        <v>352</v>
      </c>
      <c r="G196" s="17" t="s">
        <v>355</v>
      </c>
      <c r="H196" s="17" t="s">
        <v>828</v>
      </c>
      <c r="I196" s="17">
        <v>5</v>
      </c>
      <c r="J196" s="18">
        <f t="shared" si="6"/>
        <v>0</v>
      </c>
      <c r="K196" s="18">
        <f t="shared" si="7"/>
        <v>4</v>
      </c>
      <c r="L196" s="20">
        <f>IF(H196="Shipped",'Capacity &amp; Cost Dashboard'!D27+'Capacity &amp; Cost Dashboard'!D28*D196*INDEX('Capacity &amp; Cost Dashboard'!$C$31:$C$38,MATCH(INDEX(Products!$C$2:$C$31,MATCH(C196,Products!$A$2:$A$31,0)),'Capacity &amp; Cost Dashboard'!$B$31:$B$38,0)),0)</f>
        <v>9.620000000000001</v>
      </c>
    </row>
    <row r="197" spans="1:12" ht="18" x14ac:dyDescent="0.2">
      <c r="A197" s="17">
        <v>787</v>
      </c>
      <c r="B197" s="17" t="s">
        <v>845</v>
      </c>
      <c r="C197" s="17" t="s">
        <v>139</v>
      </c>
      <c r="D197" s="17">
        <v>1</v>
      </c>
      <c r="E197" s="17" t="s">
        <v>295</v>
      </c>
      <c r="F197" s="17" t="s">
        <v>341</v>
      </c>
      <c r="G197" s="17" t="s">
        <v>355</v>
      </c>
      <c r="H197" s="17" t="s">
        <v>828</v>
      </c>
      <c r="I197" s="17">
        <v>2</v>
      </c>
      <c r="J197" s="18">
        <f t="shared" si="6"/>
        <v>1</v>
      </c>
      <c r="K197" s="18">
        <f t="shared" si="7"/>
        <v>4</v>
      </c>
      <c r="L197" s="20">
        <f>IF(H197="Shipped",'Capacity &amp; Cost Dashboard'!D27+'Capacity &amp; Cost Dashboard'!D28*D197*INDEX('Capacity &amp; Cost Dashboard'!$C$31:$C$38,MATCH(INDEX(Products!$C$2:$C$31,MATCH(C197,Products!$A$2:$A$31,0)),'Capacity &amp; Cost Dashboard'!$B$31:$B$38,0)),0)</f>
        <v>8.1349999999999998</v>
      </c>
    </row>
    <row r="198" spans="1:12" ht="18" x14ac:dyDescent="0.2">
      <c r="A198" s="17">
        <v>788</v>
      </c>
      <c r="B198" s="17" t="s">
        <v>857</v>
      </c>
      <c r="C198" s="17" t="s">
        <v>132</v>
      </c>
      <c r="D198" s="17">
        <v>7</v>
      </c>
      <c r="E198" s="17" t="s">
        <v>371</v>
      </c>
      <c r="F198" s="17" t="s">
        <v>352</v>
      </c>
      <c r="G198" s="17" t="s">
        <v>352</v>
      </c>
      <c r="H198" s="17" t="s">
        <v>828</v>
      </c>
      <c r="I198" s="17">
        <v>4</v>
      </c>
      <c r="J198" s="18">
        <f t="shared" si="6"/>
        <v>0</v>
      </c>
      <c r="K198" s="18">
        <f t="shared" si="7"/>
        <v>4</v>
      </c>
      <c r="L198" s="20">
        <f>IF(H198="Shipped",'Capacity &amp; Cost Dashboard'!D27+'Capacity &amp; Cost Dashboard'!D28*D198*INDEX('Capacity &amp; Cost Dashboard'!$C$31:$C$38,MATCH(INDEX(Products!$C$2:$C$31,MATCH(C198,Products!$A$2:$A$31,0)),'Capacity &amp; Cost Dashboard'!$B$31:$B$38,0)),0)</f>
        <v>14.3</v>
      </c>
    </row>
    <row r="199" spans="1:12" ht="18" x14ac:dyDescent="0.2">
      <c r="A199" s="17">
        <v>789</v>
      </c>
      <c r="B199" s="17" t="s">
        <v>853</v>
      </c>
      <c r="C199" s="17" t="s">
        <v>118</v>
      </c>
      <c r="D199" s="17">
        <v>5</v>
      </c>
      <c r="E199" s="17" t="s">
        <v>360</v>
      </c>
      <c r="F199" s="17" t="s">
        <v>341</v>
      </c>
      <c r="G199" s="17" t="s">
        <v>376</v>
      </c>
      <c r="H199" s="17" t="s">
        <v>828</v>
      </c>
      <c r="I199" s="17">
        <v>2</v>
      </c>
      <c r="J199" s="18">
        <f t="shared" si="6"/>
        <v>1</v>
      </c>
      <c r="K199" s="18">
        <f t="shared" si="7"/>
        <v>4</v>
      </c>
      <c r="L199" s="20">
        <f>IF(H199="Shipped",'Capacity &amp; Cost Dashboard'!D27+'Capacity &amp; Cost Dashboard'!D28*D199*INDEX('Capacity &amp; Cost Dashboard'!$C$31:$C$38,MATCH(INDEX(Products!$C$2:$C$31,MATCH(C199,Products!$A$2:$A$31,0)),'Capacity &amp; Cost Dashboard'!$B$31:$B$38,0)),0)</f>
        <v>12.5</v>
      </c>
    </row>
    <row r="200" spans="1:12" ht="18" x14ac:dyDescent="0.2">
      <c r="A200" s="17">
        <v>790</v>
      </c>
      <c r="B200" s="17" t="s">
        <v>826</v>
      </c>
      <c r="C200" s="17" t="s">
        <v>113</v>
      </c>
      <c r="D200" s="17">
        <v>4</v>
      </c>
      <c r="E200" s="17" t="s">
        <v>311</v>
      </c>
      <c r="F200" s="17" t="s">
        <v>177</v>
      </c>
      <c r="G200" s="17" t="s">
        <v>177</v>
      </c>
      <c r="H200" s="17" t="s">
        <v>828</v>
      </c>
      <c r="I200" s="17">
        <v>5</v>
      </c>
      <c r="J200" s="18">
        <f t="shared" si="6"/>
        <v>0</v>
      </c>
      <c r="K200" s="18">
        <f t="shared" si="7"/>
        <v>4</v>
      </c>
      <c r="L200" s="20">
        <f>IF(H200="Shipped",'Capacity &amp; Cost Dashboard'!D27+'Capacity &amp; Cost Dashboard'!D28*D200*INDEX('Capacity &amp; Cost Dashboard'!$C$31:$C$38,MATCH(INDEX(Products!$C$2:$C$31,MATCH(C200,Products!$A$2:$A$31,0)),'Capacity &amp; Cost Dashboard'!$B$31:$B$38,0)),0)</f>
        <v>11.6</v>
      </c>
    </row>
    <row r="201" spans="1:12" ht="18" x14ac:dyDescent="0.2">
      <c r="A201" s="17">
        <v>791</v>
      </c>
      <c r="B201" s="17" t="s">
        <v>840</v>
      </c>
      <c r="C201" s="17" t="s">
        <v>118</v>
      </c>
      <c r="D201" s="17">
        <v>13</v>
      </c>
      <c r="E201" s="17" t="s">
        <v>371</v>
      </c>
      <c r="F201" s="17" t="s">
        <v>352</v>
      </c>
      <c r="G201" s="17" t="s">
        <v>352</v>
      </c>
      <c r="H201" s="17" t="s">
        <v>828</v>
      </c>
      <c r="I201" s="17">
        <v>4</v>
      </c>
      <c r="J201" s="18">
        <f t="shared" si="6"/>
        <v>0</v>
      </c>
      <c r="K201" s="18">
        <f t="shared" si="7"/>
        <v>4</v>
      </c>
      <c r="L201" s="20">
        <f>IF(H201="Shipped",'Capacity &amp; Cost Dashboard'!D27+'Capacity &amp; Cost Dashboard'!D28*D201*INDEX('Capacity &amp; Cost Dashboard'!$C$31:$C$38,MATCH(INDEX(Products!$C$2:$C$31,MATCH(C201,Products!$A$2:$A$31,0)),'Capacity &amp; Cost Dashboard'!$B$31:$B$38,0)),0)</f>
        <v>19.700000000000003</v>
      </c>
    </row>
    <row r="202" spans="1:12" ht="18" x14ac:dyDescent="0.2">
      <c r="A202" s="17">
        <v>792</v>
      </c>
      <c r="B202" s="17" t="s">
        <v>835</v>
      </c>
      <c r="C202" s="17" t="s">
        <v>125</v>
      </c>
      <c r="D202" s="17">
        <v>6</v>
      </c>
      <c r="E202" s="17" t="s">
        <v>295</v>
      </c>
      <c r="F202" s="17" t="s">
        <v>371</v>
      </c>
      <c r="G202" s="17" t="s">
        <v>371</v>
      </c>
      <c r="H202" s="17" t="s">
        <v>828</v>
      </c>
      <c r="I202" s="17">
        <v>4</v>
      </c>
      <c r="J202" s="18">
        <f t="shared" si="6"/>
        <v>0</v>
      </c>
      <c r="K202" s="18">
        <f t="shared" si="7"/>
        <v>4</v>
      </c>
      <c r="L202" s="20">
        <f>IF(H202="Shipped",'Capacity &amp; Cost Dashboard'!D27+'Capacity &amp; Cost Dashboard'!D28*D202*INDEX('Capacity &amp; Cost Dashboard'!$C$31:$C$38,MATCH(INDEX(Products!$C$2:$C$31,MATCH(C202,Products!$A$2:$A$31,0)),'Capacity &amp; Cost Dashboard'!$B$31:$B$38,0)),0)</f>
        <v>10.7</v>
      </c>
    </row>
    <row r="203" spans="1:12" ht="18" x14ac:dyDescent="0.2">
      <c r="A203" s="17">
        <v>793</v>
      </c>
      <c r="B203" s="17" t="s">
        <v>831</v>
      </c>
      <c r="C203" s="17" t="s">
        <v>127</v>
      </c>
      <c r="D203" s="17">
        <v>5</v>
      </c>
      <c r="E203" s="17" t="s">
        <v>311</v>
      </c>
      <c r="F203" s="17" t="s">
        <v>341</v>
      </c>
      <c r="G203" s="17" t="s">
        <v>312</v>
      </c>
      <c r="H203" s="17" t="s">
        <v>828</v>
      </c>
      <c r="I203" s="17">
        <v>4</v>
      </c>
      <c r="J203" s="18">
        <f t="shared" si="6"/>
        <v>0</v>
      </c>
      <c r="K203" s="18">
        <f t="shared" si="7"/>
        <v>4</v>
      </c>
      <c r="L203" s="20">
        <f>IF(H203="Shipped",'Capacity &amp; Cost Dashboard'!D27+'Capacity &amp; Cost Dashboard'!D28*D203*INDEX('Capacity &amp; Cost Dashboard'!$C$31:$C$38,MATCH(INDEX(Products!$C$2:$C$31,MATCH(C203,Products!$A$2:$A$31,0)),'Capacity &amp; Cost Dashboard'!$B$31:$B$38,0)),0)</f>
        <v>12.5</v>
      </c>
    </row>
    <row r="204" spans="1:12" ht="18" x14ac:dyDescent="0.2">
      <c r="A204" s="17">
        <v>794</v>
      </c>
      <c r="B204" s="17" t="s">
        <v>848</v>
      </c>
      <c r="C204" s="17" t="s">
        <v>136</v>
      </c>
      <c r="D204" s="17">
        <v>18</v>
      </c>
      <c r="E204" s="17" t="s">
        <v>295</v>
      </c>
      <c r="F204" s="17" t="s">
        <v>371</v>
      </c>
      <c r="G204" s="17" t="s">
        <v>371</v>
      </c>
      <c r="H204" s="17" t="s">
        <v>828</v>
      </c>
      <c r="I204" s="17">
        <v>4</v>
      </c>
      <c r="J204" s="18">
        <f t="shared" si="6"/>
        <v>0</v>
      </c>
      <c r="K204" s="18">
        <f t="shared" si="7"/>
        <v>4</v>
      </c>
      <c r="L204" s="20">
        <f>IF(H204="Shipped",'Capacity &amp; Cost Dashboard'!D27+'Capacity &amp; Cost Dashboard'!D28*D204*INDEX('Capacity &amp; Cost Dashboard'!$C$31:$C$38,MATCH(INDEX(Products!$C$2:$C$31,MATCH(C204,Products!$A$2:$A$31,0)),'Capacity &amp; Cost Dashboard'!$B$31:$B$38,0)),0)</f>
        <v>10.43</v>
      </c>
    </row>
    <row r="205" spans="1:12" ht="18" x14ac:dyDescent="0.2">
      <c r="A205" s="17">
        <v>795</v>
      </c>
      <c r="B205" s="17" t="s">
        <v>840</v>
      </c>
      <c r="C205" s="17" t="s">
        <v>100</v>
      </c>
      <c r="D205" s="17">
        <v>4</v>
      </c>
      <c r="E205" s="17" t="s">
        <v>360</v>
      </c>
      <c r="F205" s="17" t="s">
        <v>177</v>
      </c>
      <c r="G205" s="17" t="s">
        <v>177</v>
      </c>
      <c r="H205" s="17" t="s">
        <v>828</v>
      </c>
      <c r="I205" s="17">
        <v>5</v>
      </c>
      <c r="J205" s="18">
        <f t="shared" si="6"/>
        <v>0</v>
      </c>
      <c r="K205" s="18">
        <f t="shared" si="7"/>
        <v>4</v>
      </c>
      <c r="L205" s="20" t="e">
        <f>IF(H205="Shipped",'Capacity &amp; Cost Dashboard'!D27+'Capacity &amp; Cost Dashboard'!D28*D205*INDEX('Capacity &amp; Cost Dashboard'!$C$31:$C$38,MATCH(INDEX(Products!$C$2:$C$31,MATCH(C205,Products!$A$2:$A$31,0)),'Capacity &amp; Cost Dashboard'!$B$31:$B$38,0)),0)</f>
        <v>#N/A</v>
      </c>
    </row>
    <row r="206" spans="1:12" ht="18" x14ac:dyDescent="0.2">
      <c r="A206" s="17">
        <v>796</v>
      </c>
      <c r="B206" s="17" t="s">
        <v>835</v>
      </c>
      <c r="C206" s="17" t="s">
        <v>159</v>
      </c>
      <c r="D206" s="17">
        <v>2</v>
      </c>
      <c r="E206" s="17" t="s">
        <v>311</v>
      </c>
      <c r="F206" s="17" t="s">
        <v>177</v>
      </c>
      <c r="G206" s="17" t="s">
        <v>341</v>
      </c>
      <c r="H206" s="17" t="s">
        <v>828</v>
      </c>
      <c r="I206" s="17">
        <v>4</v>
      </c>
      <c r="J206" s="18">
        <f t="shared" si="6"/>
        <v>0</v>
      </c>
      <c r="K206" s="18">
        <f t="shared" si="7"/>
        <v>4</v>
      </c>
      <c r="L206" s="20">
        <f>IF(H206="Shipped",'Capacity &amp; Cost Dashboard'!D27+'Capacity &amp; Cost Dashboard'!D28*D206*INDEX('Capacity &amp; Cost Dashboard'!$C$31:$C$38,MATCH(INDEX(Products!$C$2:$C$31,MATCH(C206,Products!$A$2:$A$31,0)),'Capacity &amp; Cost Dashboard'!$B$31:$B$38,0)),0)</f>
        <v>10.7</v>
      </c>
    </row>
    <row r="207" spans="1:12" ht="18" x14ac:dyDescent="0.2">
      <c r="A207" s="17">
        <v>797</v>
      </c>
      <c r="B207" s="17" t="s">
        <v>826</v>
      </c>
      <c r="C207" s="17" t="s">
        <v>109</v>
      </c>
      <c r="D207" s="17">
        <v>4</v>
      </c>
      <c r="E207" s="17" t="s">
        <v>311</v>
      </c>
      <c r="F207" s="17" t="s">
        <v>177</v>
      </c>
      <c r="G207" s="17" t="s">
        <v>341</v>
      </c>
      <c r="H207" s="17" t="s">
        <v>828</v>
      </c>
      <c r="I207" s="17">
        <v>4</v>
      </c>
      <c r="J207" s="18">
        <f t="shared" si="6"/>
        <v>0</v>
      </c>
      <c r="K207" s="18">
        <f t="shared" si="7"/>
        <v>4</v>
      </c>
      <c r="L207" s="20">
        <f>IF(H207="Shipped",'Capacity &amp; Cost Dashboard'!D27+'Capacity &amp; Cost Dashboard'!D28*D207*INDEX('Capacity &amp; Cost Dashboard'!$C$31:$C$38,MATCH(INDEX(Products!$C$2:$C$31,MATCH(C207,Products!$A$2:$A$31,0)),'Capacity &amp; Cost Dashboard'!$B$31:$B$38,0)),0)</f>
        <v>17</v>
      </c>
    </row>
    <row r="208" spans="1:12" ht="18" x14ac:dyDescent="0.2">
      <c r="A208" s="17">
        <v>798</v>
      </c>
      <c r="B208" s="17" t="s">
        <v>841</v>
      </c>
      <c r="C208" s="17" t="s">
        <v>152</v>
      </c>
      <c r="D208" s="17">
        <v>10</v>
      </c>
      <c r="E208" s="17" t="s">
        <v>371</v>
      </c>
      <c r="F208" s="17" t="s">
        <v>352</v>
      </c>
      <c r="G208" s="17" t="s">
        <v>355</v>
      </c>
      <c r="H208" s="17" t="s">
        <v>828</v>
      </c>
      <c r="I208" s="17">
        <v>5</v>
      </c>
      <c r="J208" s="18">
        <f t="shared" si="6"/>
        <v>0</v>
      </c>
      <c r="K208" s="18">
        <f t="shared" si="7"/>
        <v>4</v>
      </c>
      <c r="L208" s="20">
        <f>IF(H208="Shipped",'Capacity &amp; Cost Dashboard'!D27+'Capacity &amp; Cost Dashboard'!D28*D208*INDEX('Capacity &amp; Cost Dashboard'!$C$31:$C$38,MATCH(INDEX(Products!$C$2:$C$31,MATCH(C208,Products!$A$2:$A$31,0)),'Capacity &amp; Cost Dashboard'!$B$31:$B$38,0)),0)</f>
        <v>14.75</v>
      </c>
    </row>
    <row r="209" spans="1:12" ht="18" x14ac:dyDescent="0.2">
      <c r="A209" s="17">
        <v>799</v>
      </c>
      <c r="B209" s="17" t="s">
        <v>846</v>
      </c>
      <c r="C209" s="17" t="s">
        <v>104</v>
      </c>
      <c r="D209" s="17">
        <v>6</v>
      </c>
      <c r="E209" s="17" t="s">
        <v>295</v>
      </c>
      <c r="F209" s="17" t="s">
        <v>341</v>
      </c>
      <c r="G209" s="17" t="s">
        <v>312</v>
      </c>
      <c r="H209" s="17" t="s">
        <v>828</v>
      </c>
      <c r="I209" s="17">
        <v>5</v>
      </c>
      <c r="J209" s="18">
        <f t="shared" si="6"/>
        <v>0</v>
      </c>
      <c r="K209" s="18">
        <f t="shared" si="7"/>
        <v>4</v>
      </c>
      <c r="L209" s="20">
        <f>IF(H209="Shipped",'Capacity &amp; Cost Dashboard'!D27+'Capacity &amp; Cost Dashboard'!D28*D209*INDEX('Capacity &amp; Cost Dashboard'!$C$31:$C$38,MATCH(INDEX(Products!$C$2:$C$31,MATCH(C209,Products!$A$2:$A$31,0)),'Capacity &amp; Cost Dashboard'!$B$31:$B$38,0)),0)</f>
        <v>21.5</v>
      </c>
    </row>
    <row r="210" spans="1:12" ht="18" x14ac:dyDescent="0.2">
      <c r="A210" s="17">
        <v>800</v>
      </c>
      <c r="B210" s="17" t="s">
        <v>856</v>
      </c>
      <c r="C210" s="17" t="s">
        <v>127</v>
      </c>
      <c r="D210" s="17">
        <v>9</v>
      </c>
      <c r="E210" s="17" t="s">
        <v>311</v>
      </c>
      <c r="F210" s="17" t="s">
        <v>177</v>
      </c>
      <c r="G210" s="17" t="s">
        <v>341</v>
      </c>
      <c r="H210" s="17" t="s">
        <v>828</v>
      </c>
      <c r="I210" s="17">
        <v>4</v>
      </c>
      <c r="J210" s="18">
        <f t="shared" si="6"/>
        <v>0</v>
      </c>
      <c r="K210" s="18">
        <f t="shared" si="7"/>
        <v>4</v>
      </c>
      <c r="L210" s="20">
        <f>IF(H210="Shipped",'Capacity &amp; Cost Dashboard'!D27+'Capacity &amp; Cost Dashboard'!D28*D210*INDEX('Capacity &amp; Cost Dashboard'!$C$31:$C$38,MATCH(INDEX(Products!$C$2:$C$31,MATCH(C210,Products!$A$2:$A$31,0)),'Capacity &amp; Cost Dashboard'!$B$31:$B$38,0)),0)</f>
        <v>16.100000000000001</v>
      </c>
    </row>
    <row r="211" spans="1:12" ht="18" x14ac:dyDescent="0.2">
      <c r="A211" s="17">
        <v>801</v>
      </c>
      <c r="B211" s="17" t="s">
        <v>833</v>
      </c>
      <c r="C211" s="17" t="s">
        <v>116</v>
      </c>
      <c r="D211" s="17">
        <v>2</v>
      </c>
      <c r="E211" s="17" t="s">
        <v>311</v>
      </c>
      <c r="F211" s="17" t="s">
        <v>312</v>
      </c>
      <c r="G211" s="17" t="s">
        <v>371</v>
      </c>
      <c r="H211" s="17" t="s">
        <v>828</v>
      </c>
      <c r="I211" s="17">
        <v>5</v>
      </c>
      <c r="J211" s="18">
        <f t="shared" si="6"/>
        <v>0</v>
      </c>
      <c r="K211" s="18">
        <f t="shared" si="7"/>
        <v>4</v>
      </c>
      <c r="L211" s="20">
        <f>IF(H211="Shipped",'Capacity &amp; Cost Dashboard'!D27+'Capacity &amp; Cost Dashboard'!D28*D211*INDEX('Capacity &amp; Cost Dashboard'!$C$31:$C$38,MATCH(INDEX(Products!$C$2:$C$31,MATCH(C211,Products!$A$2:$A$31,0)),'Capacity &amp; Cost Dashboard'!$B$31:$B$38,0)),0)</f>
        <v>9.8000000000000007</v>
      </c>
    </row>
    <row r="212" spans="1:12" ht="18" x14ac:dyDescent="0.2">
      <c r="A212" s="17">
        <v>802</v>
      </c>
      <c r="B212" s="17" t="s">
        <v>842</v>
      </c>
      <c r="C212" s="17" t="s">
        <v>149</v>
      </c>
      <c r="D212" s="17">
        <v>8</v>
      </c>
      <c r="E212" s="17" t="s">
        <v>176</v>
      </c>
      <c r="F212" s="17" t="s">
        <v>312</v>
      </c>
      <c r="G212" s="17" t="s">
        <v>341</v>
      </c>
      <c r="H212" s="17" t="s">
        <v>828</v>
      </c>
      <c r="I212" s="17">
        <v>4</v>
      </c>
      <c r="J212" s="18">
        <f t="shared" si="6"/>
        <v>1</v>
      </c>
      <c r="K212" s="18">
        <f t="shared" si="7"/>
        <v>4</v>
      </c>
      <c r="L212" s="20">
        <f>IF(H212="Shipped",'Capacity &amp; Cost Dashboard'!D27+'Capacity &amp; Cost Dashboard'!D28*D212*INDEX('Capacity &amp; Cost Dashboard'!$C$31:$C$38,MATCH(INDEX(Products!$C$2:$C$31,MATCH(C212,Products!$A$2:$A$31,0)),'Capacity &amp; Cost Dashboard'!$B$31:$B$38,0)),0)</f>
        <v>13.4</v>
      </c>
    </row>
    <row r="213" spans="1:12" ht="18" x14ac:dyDescent="0.2">
      <c r="A213" s="17">
        <v>803</v>
      </c>
      <c r="B213" s="17" t="s">
        <v>853</v>
      </c>
      <c r="C213" s="17" t="s">
        <v>127</v>
      </c>
      <c r="D213" s="17">
        <v>4</v>
      </c>
      <c r="E213" s="17" t="s">
        <v>176</v>
      </c>
      <c r="F213" s="17" t="s">
        <v>360</v>
      </c>
      <c r="G213" s="17" t="s">
        <v>360</v>
      </c>
      <c r="H213" s="17" t="s">
        <v>828</v>
      </c>
      <c r="I213" s="17">
        <v>4</v>
      </c>
      <c r="J213" s="18">
        <f t="shared" si="6"/>
        <v>0</v>
      </c>
      <c r="K213" s="18">
        <f t="shared" si="7"/>
        <v>4</v>
      </c>
      <c r="L213" s="20">
        <f>IF(H213="Shipped",'Capacity &amp; Cost Dashboard'!D27+'Capacity &amp; Cost Dashboard'!D28*D213*INDEX('Capacity &amp; Cost Dashboard'!$C$31:$C$38,MATCH(INDEX(Products!$C$2:$C$31,MATCH(C213,Products!$A$2:$A$31,0)),'Capacity &amp; Cost Dashboard'!$B$31:$B$38,0)),0)</f>
        <v>11.6</v>
      </c>
    </row>
    <row r="214" spans="1:12" ht="18" x14ac:dyDescent="0.2">
      <c r="A214" s="17">
        <v>804</v>
      </c>
      <c r="B214" s="17" t="s">
        <v>832</v>
      </c>
      <c r="C214" s="17" t="s">
        <v>118</v>
      </c>
      <c r="D214" s="17">
        <v>8</v>
      </c>
      <c r="E214" s="17" t="s">
        <v>371</v>
      </c>
      <c r="F214" s="17" t="s">
        <v>355</v>
      </c>
      <c r="G214" s="17" t="s">
        <v>355</v>
      </c>
      <c r="H214" s="17" t="s">
        <v>828</v>
      </c>
      <c r="I214" s="17">
        <v>5</v>
      </c>
      <c r="J214" s="18">
        <f t="shared" si="6"/>
        <v>0</v>
      </c>
      <c r="K214" s="18">
        <f t="shared" si="7"/>
        <v>4</v>
      </c>
      <c r="L214" s="20">
        <f>IF(H214="Shipped",'Capacity &amp; Cost Dashboard'!D27+'Capacity &amp; Cost Dashboard'!D28*D214*INDEX('Capacity &amp; Cost Dashboard'!$C$31:$C$38,MATCH(INDEX(Products!$C$2:$C$31,MATCH(C214,Products!$A$2:$A$31,0)),'Capacity &amp; Cost Dashboard'!$B$31:$B$38,0)),0)</f>
        <v>15.2</v>
      </c>
    </row>
    <row r="215" spans="1:12" ht="18" x14ac:dyDescent="0.2">
      <c r="A215" s="17">
        <v>805</v>
      </c>
      <c r="B215" s="17" t="s">
        <v>835</v>
      </c>
      <c r="C215" s="17" t="s">
        <v>118</v>
      </c>
      <c r="D215" s="17">
        <v>10</v>
      </c>
      <c r="E215" s="17" t="s">
        <v>360</v>
      </c>
      <c r="F215" s="17" t="s">
        <v>341</v>
      </c>
      <c r="G215" s="17" t="s">
        <v>379</v>
      </c>
      <c r="H215" s="17" t="s">
        <v>828</v>
      </c>
      <c r="I215" s="17">
        <v>2</v>
      </c>
      <c r="J215" s="18">
        <f t="shared" si="6"/>
        <v>1</v>
      </c>
      <c r="K215" s="18">
        <f t="shared" si="7"/>
        <v>4</v>
      </c>
      <c r="L215" s="20">
        <f>IF(H215="Shipped",'Capacity &amp; Cost Dashboard'!D27+'Capacity &amp; Cost Dashboard'!D28*D215*INDEX('Capacity &amp; Cost Dashboard'!$C$31:$C$38,MATCH(INDEX(Products!$C$2:$C$31,MATCH(C215,Products!$A$2:$A$31,0)),'Capacity &amp; Cost Dashboard'!$B$31:$B$38,0)),0)</f>
        <v>17</v>
      </c>
    </row>
    <row r="216" spans="1:12" ht="18" x14ac:dyDescent="0.2">
      <c r="A216" s="17">
        <v>806</v>
      </c>
      <c r="B216" s="17" t="s">
        <v>854</v>
      </c>
      <c r="C216" s="17" t="s">
        <v>109</v>
      </c>
      <c r="D216" s="17">
        <v>5</v>
      </c>
      <c r="E216" s="17" t="s">
        <v>295</v>
      </c>
      <c r="F216" s="17" t="s">
        <v>371</v>
      </c>
      <c r="G216" s="17" t="s">
        <v>352</v>
      </c>
      <c r="H216" s="17" t="s">
        <v>828</v>
      </c>
      <c r="I216" s="17">
        <v>4</v>
      </c>
      <c r="J216" s="18">
        <f t="shared" si="6"/>
        <v>1</v>
      </c>
      <c r="K216" s="18">
        <f t="shared" si="7"/>
        <v>4</v>
      </c>
      <c r="L216" s="20">
        <f>IF(H216="Shipped",'Capacity &amp; Cost Dashboard'!D27+'Capacity &amp; Cost Dashboard'!D28*D216*INDEX('Capacity &amp; Cost Dashboard'!$C$31:$C$38,MATCH(INDEX(Products!$C$2:$C$31,MATCH(C216,Products!$A$2:$A$31,0)),'Capacity &amp; Cost Dashboard'!$B$31:$B$38,0)),0)</f>
        <v>19.25</v>
      </c>
    </row>
    <row r="217" spans="1:12" ht="18" x14ac:dyDescent="0.2">
      <c r="A217" s="17">
        <v>807</v>
      </c>
      <c r="B217" s="17" t="s">
        <v>852</v>
      </c>
      <c r="C217" s="17" t="s">
        <v>109</v>
      </c>
      <c r="D217" s="17">
        <v>6</v>
      </c>
      <c r="E217" s="17" t="s">
        <v>311</v>
      </c>
      <c r="F217" s="17" t="s">
        <v>341</v>
      </c>
      <c r="G217" s="17" t="s">
        <v>341</v>
      </c>
      <c r="H217" s="17" t="s">
        <v>828</v>
      </c>
      <c r="I217" s="17">
        <v>5</v>
      </c>
      <c r="J217" s="18">
        <f t="shared" si="6"/>
        <v>0</v>
      </c>
      <c r="K217" s="18">
        <f t="shared" si="7"/>
        <v>4</v>
      </c>
      <c r="L217" s="20">
        <f>IF(H217="Shipped",'Capacity &amp; Cost Dashboard'!D27+'Capacity &amp; Cost Dashboard'!D28*D217*INDEX('Capacity &amp; Cost Dashboard'!$C$31:$C$38,MATCH(INDEX(Products!$C$2:$C$31,MATCH(C217,Products!$A$2:$A$31,0)),'Capacity &amp; Cost Dashboard'!$B$31:$B$38,0)),0)</f>
        <v>21.5</v>
      </c>
    </row>
    <row r="218" spans="1:12" ht="18" x14ac:dyDescent="0.2">
      <c r="A218" s="17">
        <v>808</v>
      </c>
      <c r="B218" s="17" t="s">
        <v>856</v>
      </c>
      <c r="C218" s="17" t="s">
        <v>102</v>
      </c>
      <c r="D218" s="17">
        <v>3</v>
      </c>
      <c r="E218" s="17" t="s">
        <v>295</v>
      </c>
      <c r="F218" s="17" t="s">
        <v>341</v>
      </c>
      <c r="G218" s="17" t="s">
        <v>312</v>
      </c>
      <c r="H218" s="17" t="s">
        <v>828</v>
      </c>
      <c r="I218" s="17">
        <v>5</v>
      </c>
      <c r="J218" s="18">
        <f t="shared" si="6"/>
        <v>0</v>
      </c>
      <c r="K218" s="18">
        <f t="shared" si="7"/>
        <v>4</v>
      </c>
      <c r="L218" s="20" t="e">
        <f>IF(H218="Shipped",'Capacity &amp; Cost Dashboard'!D27+'Capacity &amp; Cost Dashboard'!D28*D218*INDEX('Capacity &amp; Cost Dashboard'!$C$31:$C$38,MATCH(INDEX(Products!$C$2:$C$31,MATCH(C218,Products!$A$2:$A$31,0)),'Capacity &amp; Cost Dashboard'!$B$31:$B$38,0)),0)</f>
        <v>#N/A</v>
      </c>
    </row>
    <row r="219" spans="1:12" ht="18" x14ac:dyDescent="0.2">
      <c r="A219" s="17">
        <v>809</v>
      </c>
      <c r="B219" s="17" t="s">
        <v>854</v>
      </c>
      <c r="C219" s="17" t="s">
        <v>159</v>
      </c>
      <c r="D219" s="17">
        <v>6</v>
      </c>
      <c r="E219" s="17" t="s">
        <v>295</v>
      </c>
      <c r="F219" s="17" t="s">
        <v>341</v>
      </c>
      <c r="G219" s="17" t="s">
        <v>312</v>
      </c>
      <c r="H219" s="17" t="s">
        <v>828</v>
      </c>
      <c r="I219" s="17">
        <v>5</v>
      </c>
      <c r="J219" s="18">
        <f t="shared" si="6"/>
        <v>0</v>
      </c>
      <c r="K219" s="18">
        <f t="shared" si="7"/>
        <v>4</v>
      </c>
      <c r="L219" s="20">
        <f>IF(H219="Shipped",'Capacity &amp; Cost Dashboard'!D27+'Capacity &amp; Cost Dashboard'!D28*D219*INDEX('Capacity &amp; Cost Dashboard'!$C$31:$C$38,MATCH(INDEX(Products!$C$2:$C$31,MATCH(C219,Products!$A$2:$A$31,0)),'Capacity &amp; Cost Dashboard'!$B$31:$B$38,0)),0)</f>
        <v>16.100000000000001</v>
      </c>
    </row>
    <row r="220" spans="1:12" ht="18" x14ac:dyDescent="0.2">
      <c r="A220" s="17">
        <v>810</v>
      </c>
      <c r="B220" s="17" t="s">
        <v>840</v>
      </c>
      <c r="C220" s="17" t="s">
        <v>136</v>
      </c>
      <c r="D220" s="17">
        <v>26</v>
      </c>
      <c r="E220" s="17" t="s">
        <v>176</v>
      </c>
      <c r="F220" s="17" t="s">
        <v>312</v>
      </c>
      <c r="G220" s="17" t="s">
        <v>371</v>
      </c>
      <c r="H220" s="17" t="s">
        <v>828</v>
      </c>
      <c r="I220" s="17">
        <v>5</v>
      </c>
      <c r="J220" s="18">
        <f t="shared" si="6"/>
        <v>0</v>
      </c>
      <c r="K220" s="18">
        <f t="shared" si="7"/>
        <v>4</v>
      </c>
      <c r="L220" s="20">
        <f>IF(H220="Shipped",'Capacity &amp; Cost Dashboard'!D27+'Capacity &amp; Cost Dashboard'!D28*D220*INDEX('Capacity &amp; Cost Dashboard'!$C$31:$C$38,MATCH(INDEX(Products!$C$2:$C$31,MATCH(C220,Products!$A$2:$A$31,0)),'Capacity &amp; Cost Dashboard'!$B$31:$B$38,0)),0)</f>
        <v>11.51</v>
      </c>
    </row>
    <row r="221" spans="1:12" ht="18" x14ac:dyDescent="0.2">
      <c r="A221" s="17">
        <v>811</v>
      </c>
      <c r="B221" s="17" t="s">
        <v>854</v>
      </c>
      <c r="C221" s="17" t="s">
        <v>102</v>
      </c>
      <c r="D221" s="17">
        <v>12</v>
      </c>
      <c r="E221" s="17" t="s">
        <v>295</v>
      </c>
      <c r="F221" s="17" t="s">
        <v>312</v>
      </c>
      <c r="G221" s="17" t="s">
        <v>371</v>
      </c>
      <c r="H221" s="17" t="s">
        <v>828</v>
      </c>
      <c r="I221" s="17">
        <v>5</v>
      </c>
      <c r="J221" s="18">
        <f t="shared" si="6"/>
        <v>0</v>
      </c>
      <c r="K221" s="18">
        <f t="shared" si="7"/>
        <v>4</v>
      </c>
      <c r="L221" s="20" t="e">
        <f>IF(H221="Shipped",'Capacity &amp; Cost Dashboard'!D27+'Capacity &amp; Cost Dashboard'!D28*D221*INDEX('Capacity &amp; Cost Dashboard'!$C$31:$C$38,MATCH(INDEX(Products!$C$2:$C$31,MATCH(C221,Products!$A$2:$A$31,0)),'Capacity &amp; Cost Dashboard'!$B$31:$B$38,0)),0)</f>
        <v>#N/A</v>
      </c>
    </row>
    <row r="222" spans="1:12" ht="18" x14ac:dyDescent="0.2">
      <c r="A222" s="17">
        <v>812</v>
      </c>
      <c r="B222" s="17" t="s">
        <v>840</v>
      </c>
      <c r="C222" s="17" t="s">
        <v>123</v>
      </c>
      <c r="D222" s="17">
        <v>3</v>
      </c>
      <c r="E222" s="17" t="s">
        <v>360</v>
      </c>
      <c r="F222" s="17" t="s">
        <v>355</v>
      </c>
      <c r="G222" s="17" t="s">
        <v>177</v>
      </c>
      <c r="H222" s="17" t="s">
        <v>828</v>
      </c>
      <c r="I222" s="17">
        <v>5</v>
      </c>
      <c r="J222" s="18">
        <f t="shared" si="6"/>
        <v>0</v>
      </c>
      <c r="K222" s="18">
        <f t="shared" si="7"/>
        <v>4</v>
      </c>
      <c r="L222" s="20">
        <f>IF(H222="Shipped",'Capacity &amp; Cost Dashboard'!D27+'Capacity &amp; Cost Dashboard'!D28*D222*INDEX('Capacity &amp; Cost Dashboard'!$C$31:$C$38,MATCH(INDEX(Products!$C$2:$C$31,MATCH(C222,Products!$A$2:$A$31,0)),'Capacity &amp; Cost Dashboard'!$B$31:$B$38,0)),0)</f>
        <v>9.35</v>
      </c>
    </row>
    <row r="223" spans="1:12" ht="18" x14ac:dyDescent="0.2">
      <c r="A223" s="17">
        <v>813</v>
      </c>
      <c r="B223" s="17" t="s">
        <v>847</v>
      </c>
      <c r="C223" s="17" t="s">
        <v>159</v>
      </c>
      <c r="D223" s="17">
        <v>4</v>
      </c>
      <c r="E223" s="17" t="s">
        <v>295</v>
      </c>
      <c r="F223" s="17" t="s">
        <v>341</v>
      </c>
      <c r="G223" s="17" t="s">
        <v>341</v>
      </c>
      <c r="H223" s="17" t="s">
        <v>828</v>
      </c>
      <c r="I223" s="17">
        <v>5</v>
      </c>
      <c r="J223" s="18">
        <f t="shared" si="6"/>
        <v>0</v>
      </c>
      <c r="K223" s="18">
        <f t="shared" si="7"/>
        <v>4</v>
      </c>
      <c r="L223" s="20">
        <f>IF(H223="Shipped",'Capacity &amp; Cost Dashboard'!D27+'Capacity &amp; Cost Dashboard'!D28*D223*INDEX('Capacity &amp; Cost Dashboard'!$C$31:$C$38,MATCH(INDEX(Products!$C$2:$C$31,MATCH(C223,Products!$A$2:$A$31,0)),'Capacity &amp; Cost Dashboard'!$B$31:$B$38,0)),0)</f>
        <v>13.4</v>
      </c>
    </row>
    <row r="224" spans="1:12" ht="18" x14ac:dyDescent="0.2">
      <c r="A224" s="17">
        <v>814</v>
      </c>
      <c r="B224" s="17" t="s">
        <v>829</v>
      </c>
      <c r="C224" s="17" t="s">
        <v>143</v>
      </c>
      <c r="D224" s="17">
        <v>10</v>
      </c>
      <c r="E224" s="17" t="s">
        <v>360</v>
      </c>
      <c r="F224" s="17" t="s">
        <v>355</v>
      </c>
      <c r="G224" s="17" t="s">
        <v>382</v>
      </c>
      <c r="H224" s="17" t="s">
        <v>828</v>
      </c>
      <c r="I224" s="17">
        <v>3</v>
      </c>
      <c r="J224" s="18">
        <f t="shared" si="6"/>
        <v>1</v>
      </c>
      <c r="K224" s="18">
        <f t="shared" si="7"/>
        <v>4</v>
      </c>
      <c r="L224" s="20">
        <f>IF(H224="Shipped",'Capacity &amp; Cost Dashboard'!D27+'Capacity &amp; Cost Dashboard'!D28*D224*INDEX('Capacity &amp; Cost Dashboard'!$C$31:$C$38,MATCH(INDEX(Products!$C$2:$C$31,MATCH(C224,Products!$A$2:$A$31,0)),'Capacity &amp; Cost Dashboard'!$B$31:$B$38,0)),0)</f>
        <v>9.35</v>
      </c>
    </row>
    <row r="225" spans="1:12" ht="18" x14ac:dyDescent="0.2">
      <c r="A225" s="17">
        <v>815</v>
      </c>
      <c r="B225" s="17" t="s">
        <v>845</v>
      </c>
      <c r="C225" s="17" t="s">
        <v>95</v>
      </c>
      <c r="D225" s="17">
        <v>39</v>
      </c>
      <c r="E225" s="17" t="s">
        <v>311</v>
      </c>
      <c r="F225" s="17" t="s">
        <v>312</v>
      </c>
      <c r="G225" s="17" t="s">
        <v>341</v>
      </c>
      <c r="H225" s="17" t="s">
        <v>828</v>
      </c>
      <c r="I225" s="17">
        <v>3</v>
      </c>
      <c r="J225" s="18">
        <f t="shared" si="6"/>
        <v>1</v>
      </c>
      <c r="K225" s="18">
        <f t="shared" si="7"/>
        <v>4</v>
      </c>
      <c r="L225" s="20" t="e">
        <f>IF(H225="Shipped",'Capacity &amp; Cost Dashboard'!D27+'Capacity &amp; Cost Dashboard'!D28*D225*INDEX('Capacity &amp; Cost Dashboard'!$C$31:$C$38,MATCH(INDEX(Products!$C$2:$C$31,MATCH(C225,Products!$A$2:$A$31,0)),'Capacity &amp; Cost Dashboard'!$B$31:$B$38,0)),0)</f>
        <v>#N/A</v>
      </c>
    </row>
    <row r="226" spans="1:12" ht="18" x14ac:dyDescent="0.2">
      <c r="A226" s="17">
        <v>816</v>
      </c>
      <c r="B226" s="17" t="s">
        <v>832</v>
      </c>
      <c r="C226" s="17" t="s">
        <v>125</v>
      </c>
      <c r="D226" s="17">
        <v>13</v>
      </c>
      <c r="E226" s="17" t="s">
        <v>311</v>
      </c>
      <c r="F226" s="17" t="s">
        <v>177</v>
      </c>
      <c r="G226" s="17" t="s">
        <v>341</v>
      </c>
      <c r="H226" s="17" t="s">
        <v>828</v>
      </c>
      <c r="I226" s="17">
        <v>4</v>
      </c>
      <c r="J226" s="18">
        <f t="shared" si="6"/>
        <v>0</v>
      </c>
      <c r="K226" s="18">
        <f t="shared" si="7"/>
        <v>4</v>
      </c>
      <c r="L226" s="20">
        <f>IF(H226="Shipped",'Capacity &amp; Cost Dashboard'!D27+'Capacity &amp; Cost Dashboard'!D28*D226*INDEX('Capacity &amp; Cost Dashboard'!$C$31:$C$38,MATCH(INDEX(Products!$C$2:$C$31,MATCH(C226,Products!$A$2:$A$31,0)),'Capacity &amp; Cost Dashboard'!$B$31:$B$38,0)),0)</f>
        <v>13.850000000000001</v>
      </c>
    </row>
    <row r="227" spans="1:12" ht="18" x14ac:dyDescent="0.2">
      <c r="A227" s="17">
        <v>817</v>
      </c>
      <c r="B227" s="17" t="s">
        <v>844</v>
      </c>
      <c r="C227" s="17" t="s">
        <v>104</v>
      </c>
      <c r="D227" s="17">
        <v>8</v>
      </c>
      <c r="E227" s="17" t="s">
        <v>176</v>
      </c>
      <c r="F227" s="17" t="s">
        <v>312</v>
      </c>
      <c r="G227" s="17" t="s">
        <v>312</v>
      </c>
      <c r="H227" s="17" t="s">
        <v>828</v>
      </c>
      <c r="I227" s="17">
        <v>5</v>
      </c>
      <c r="J227" s="18">
        <f t="shared" si="6"/>
        <v>0</v>
      </c>
      <c r="K227" s="18">
        <f t="shared" si="7"/>
        <v>4</v>
      </c>
      <c r="L227" s="20">
        <f>IF(H227="Shipped",'Capacity &amp; Cost Dashboard'!D27+'Capacity &amp; Cost Dashboard'!D28*D227*INDEX('Capacity &amp; Cost Dashboard'!$C$31:$C$38,MATCH(INDEX(Products!$C$2:$C$31,MATCH(C227,Products!$A$2:$A$31,0)),'Capacity &amp; Cost Dashboard'!$B$31:$B$38,0)),0)</f>
        <v>26</v>
      </c>
    </row>
    <row r="228" spans="1:12" ht="18" x14ac:dyDescent="0.2">
      <c r="A228" s="17">
        <v>818</v>
      </c>
      <c r="B228" s="17" t="s">
        <v>836</v>
      </c>
      <c r="C228" s="17" t="s">
        <v>130</v>
      </c>
      <c r="D228" s="17">
        <v>1</v>
      </c>
      <c r="E228" s="17" t="s">
        <v>311</v>
      </c>
      <c r="F228" s="17" t="s">
        <v>312</v>
      </c>
      <c r="G228" s="17" t="s">
        <v>312</v>
      </c>
      <c r="H228" s="17" t="s">
        <v>828</v>
      </c>
      <c r="I228" s="17">
        <v>5</v>
      </c>
      <c r="J228" s="18">
        <f t="shared" si="6"/>
        <v>0</v>
      </c>
      <c r="K228" s="18">
        <f t="shared" si="7"/>
        <v>4</v>
      </c>
      <c r="L228" s="20">
        <f>IF(H228="Shipped",'Capacity &amp; Cost Dashboard'!D27+'Capacity &amp; Cost Dashboard'!D28*D228*INDEX('Capacity &amp; Cost Dashboard'!$C$31:$C$38,MATCH(INDEX(Products!$C$2:$C$31,MATCH(C228,Products!$A$2:$A$31,0)),'Capacity &amp; Cost Dashboard'!$B$31:$B$38,0)),0)</f>
        <v>8.9</v>
      </c>
    </row>
    <row r="229" spans="1:12" ht="18" x14ac:dyDescent="0.2">
      <c r="A229" s="17">
        <v>819</v>
      </c>
      <c r="B229" s="17" t="s">
        <v>832</v>
      </c>
      <c r="C229" s="17" t="s">
        <v>123</v>
      </c>
      <c r="D229" s="17">
        <v>10</v>
      </c>
      <c r="E229" s="17" t="s">
        <v>176</v>
      </c>
      <c r="F229" s="17" t="s">
        <v>312</v>
      </c>
      <c r="G229" s="17" t="s">
        <v>312</v>
      </c>
      <c r="H229" s="17" t="s">
        <v>828</v>
      </c>
      <c r="I229" s="17">
        <v>5</v>
      </c>
      <c r="J229" s="18">
        <f t="shared" si="6"/>
        <v>0</v>
      </c>
      <c r="K229" s="18">
        <f t="shared" si="7"/>
        <v>4</v>
      </c>
      <c r="L229" s="20">
        <f>IF(H229="Shipped",'Capacity &amp; Cost Dashboard'!D27+'Capacity &amp; Cost Dashboard'!D28*D229*INDEX('Capacity &amp; Cost Dashboard'!$C$31:$C$38,MATCH(INDEX(Products!$C$2:$C$31,MATCH(C229,Products!$A$2:$A$31,0)),'Capacity &amp; Cost Dashboard'!$B$31:$B$38,0)),0)</f>
        <v>12.5</v>
      </c>
    </row>
    <row r="230" spans="1:12" ht="18" x14ac:dyDescent="0.2">
      <c r="A230" s="17">
        <v>820</v>
      </c>
      <c r="B230" s="17" t="s">
        <v>851</v>
      </c>
      <c r="C230" s="17" t="s">
        <v>132</v>
      </c>
      <c r="D230" s="17">
        <v>9</v>
      </c>
      <c r="E230" s="17" t="s">
        <v>371</v>
      </c>
      <c r="F230" s="17" t="s">
        <v>177</v>
      </c>
      <c r="G230" s="17" t="s">
        <v>177</v>
      </c>
      <c r="H230" s="17" t="s">
        <v>828</v>
      </c>
      <c r="I230" s="17">
        <v>4</v>
      </c>
      <c r="J230" s="18">
        <f t="shared" si="6"/>
        <v>0</v>
      </c>
      <c r="K230" s="18">
        <f t="shared" si="7"/>
        <v>4</v>
      </c>
      <c r="L230" s="20">
        <f>IF(H230="Shipped",'Capacity &amp; Cost Dashboard'!D27+'Capacity &amp; Cost Dashboard'!D28*D230*INDEX('Capacity &amp; Cost Dashboard'!$C$31:$C$38,MATCH(INDEX(Products!$C$2:$C$31,MATCH(C230,Products!$A$2:$A$31,0)),'Capacity &amp; Cost Dashboard'!$B$31:$B$38,0)),0)</f>
        <v>16.100000000000001</v>
      </c>
    </row>
    <row r="231" spans="1:12" ht="18" x14ac:dyDescent="0.2">
      <c r="A231" s="17">
        <v>821</v>
      </c>
      <c r="B231" s="17" t="s">
        <v>851</v>
      </c>
      <c r="C231" s="17" t="s">
        <v>104</v>
      </c>
      <c r="D231" s="17">
        <v>6</v>
      </c>
      <c r="E231" s="17" t="s">
        <v>371</v>
      </c>
      <c r="F231" s="17" t="s">
        <v>177</v>
      </c>
      <c r="G231" s="17" t="s">
        <v>177</v>
      </c>
      <c r="H231" s="17" t="s">
        <v>828</v>
      </c>
      <c r="I231" s="17">
        <v>5</v>
      </c>
      <c r="J231" s="18">
        <f t="shared" si="6"/>
        <v>0</v>
      </c>
      <c r="K231" s="18">
        <f t="shared" si="7"/>
        <v>4</v>
      </c>
      <c r="L231" s="20">
        <f>IF(H231="Shipped",'Capacity &amp; Cost Dashboard'!D27+'Capacity &amp; Cost Dashboard'!D28*D231*INDEX('Capacity &amp; Cost Dashboard'!$C$31:$C$38,MATCH(INDEX(Products!$C$2:$C$31,MATCH(C231,Products!$A$2:$A$31,0)),'Capacity &amp; Cost Dashboard'!$B$31:$B$38,0)),0)</f>
        <v>21.5</v>
      </c>
    </row>
    <row r="232" spans="1:12" ht="18" x14ac:dyDescent="0.2">
      <c r="A232" s="17">
        <v>822</v>
      </c>
      <c r="B232" s="17" t="s">
        <v>845</v>
      </c>
      <c r="C232" s="17" t="s">
        <v>98</v>
      </c>
      <c r="D232" s="17">
        <v>26</v>
      </c>
      <c r="E232" s="17" t="s">
        <v>311</v>
      </c>
      <c r="F232" s="17" t="s">
        <v>341</v>
      </c>
      <c r="G232" s="17" t="s">
        <v>312</v>
      </c>
      <c r="H232" s="17" t="s">
        <v>828</v>
      </c>
      <c r="I232" s="17">
        <v>5</v>
      </c>
      <c r="J232" s="18">
        <f t="shared" si="6"/>
        <v>0</v>
      </c>
      <c r="K232" s="18">
        <f t="shared" si="7"/>
        <v>4</v>
      </c>
      <c r="L232" s="20" t="e">
        <f>IF(H232="Shipped",'Capacity &amp; Cost Dashboard'!D27+'Capacity &amp; Cost Dashboard'!D28*D232*INDEX('Capacity &amp; Cost Dashboard'!$C$31:$C$38,MATCH(INDEX(Products!$C$2:$C$31,MATCH(C232,Products!$A$2:$A$31,0)),'Capacity &amp; Cost Dashboard'!$B$31:$B$38,0)),0)</f>
        <v>#N/A</v>
      </c>
    </row>
    <row r="233" spans="1:12" ht="18" x14ac:dyDescent="0.2">
      <c r="A233" s="17">
        <v>823</v>
      </c>
      <c r="B233" s="17" t="s">
        <v>838</v>
      </c>
      <c r="C233" s="17" t="s">
        <v>120</v>
      </c>
      <c r="D233" s="17">
        <v>11</v>
      </c>
      <c r="E233" s="17" t="s">
        <v>176</v>
      </c>
      <c r="F233" s="17" t="s">
        <v>371</v>
      </c>
      <c r="G233" s="17" t="s">
        <v>360</v>
      </c>
      <c r="H233" s="17" t="s">
        <v>828</v>
      </c>
      <c r="I233" s="17">
        <v>5</v>
      </c>
      <c r="J233" s="18">
        <f t="shared" si="6"/>
        <v>0</v>
      </c>
      <c r="K233" s="18">
        <f t="shared" si="7"/>
        <v>4</v>
      </c>
      <c r="L233" s="20">
        <f>IF(H233="Shipped",'Capacity &amp; Cost Dashboard'!D27+'Capacity &amp; Cost Dashboard'!D28*D233*INDEX('Capacity &amp; Cost Dashboard'!$C$31:$C$38,MATCH(INDEX(Products!$C$2:$C$31,MATCH(C233,Products!$A$2:$A$31,0)),'Capacity &amp; Cost Dashboard'!$B$31:$B$38,0)),0)</f>
        <v>12.95</v>
      </c>
    </row>
    <row r="234" spans="1:12" ht="18" x14ac:dyDescent="0.2">
      <c r="A234" s="17">
        <v>824</v>
      </c>
      <c r="B234" s="17" t="s">
        <v>832</v>
      </c>
      <c r="C234" s="17" t="s">
        <v>152</v>
      </c>
      <c r="D234" s="17">
        <v>10</v>
      </c>
      <c r="E234" s="17" t="s">
        <v>371</v>
      </c>
      <c r="F234" s="17" t="s">
        <v>177</v>
      </c>
      <c r="G234" s="17" t="s">
        <v>341</v>
      </c>
      <c r="H234" s="17" t="s">
        <v>828</v>
      </c>
      <c r="I234" s="17">
        <v>5</v>
      </c>
      <c r="J234" s="18">
        <f t="shared" si="6"/>
        <v>0</v>
      </c>
      <c r="K234" s="18">
        <f t="shared" si="7"/>
        <v>4</v>
      </c>
      <c r="L234" s="20">
        <f>IF(H234="Shipped",'Capacity &amp; Cost Dashboard'!D27+'Capacity &amp; Cost Dashboard'!D28*D234*INDEX('Capacity &amp; Cost Dashboard'!$C$31:$C$38,MATCH(INDEX(Products!$C$2:$C$31,MATCH(C234,Products!$A$2:$A$31,0)),'Capacity &amp; Cost Dashboard'!$B$31:$B$38,0)),0)</f>
        <v>14.75</v>
      </c>
    </row>
    <row r="235" spans="1:12" ht="18" x14ac:dyDescent="0.2">
      <c r="A235" s="17">
        <v>825</v>
      </c>
      <c r="B235" s="17" t="s">
        <v>829</v>
      </c>
      <c r="C235" s="17" t="s">
        <v>95</v>
      </c>
      <c r="D235" s="17">
        <v>3</v>
      </c>
      <c r="E235" s="17" t="s">
        <v>295</v>
      </c>
      <c r="F235" s="17" t="s">
        <v>341</v>
      </c>
      <c r="G235" s="17" t="s">
        <v>341</v>
      </c>
      <c r="H235" s="17" t="s">
        <v>828</v>
      </c>
      <c r="I235" s="17">
        <v>5</v>
      </c>
      <c r="J235" s="18">
        <f t="shared" si="6"/>
        <v>0</v>
      </c>
      <c r="K235" s="18">
        <f t="shared" si="7"/>
        <v>4</v>
      </c>
      <c r="L235" s="20" t="e">
        <f>IF(H235="Shipped",'Capacity &amp; Cost Dashboard'!D27+'Capacity &amp; Cost Dashboard'!D28*D235*INDEX('Capacity &amp; Cost Dashboard'!$C$31:$C$38,MATCH(INDEX(Products!$C$2:$C$31,MATCH(C235,Products!$A$2:$A$31,0)),'Capacity &amp; Cost Dashboard'!$B$31:$B$38,0)),0)</f>
        <v>#N/A</v>
      </c>
    </row>
    <row r="236" spans="1:12" ht="18" x14ac:dyDescent="0.2">
      <c r="A236" s="17">
        <v>826</v>
      </c>
      <c r="B236" s="17" t="s">
        <v>840</v>
      </c>
      <c r="C236" s="17" t="s">
        <v>102</v>
      </c>
      <c r="D236" s="17">
        <v>5</v>
      </c>
      <c r="E236" s="17" t="s">
        <v>360</v>
      </c>
      <c r="F236" s="17" t="s">
        <v>355</v>
      </c>
      <c r="G236" s="17" t="s">
        <v>355</v>
      </c>
      <c r="H236" s="17" t="s">
        <v>828</v>
      </c>
      <c r="I236" s="17">
        <v>5</v>
      </c>
      <c r="J236" s="18">
        <f t="shared" si="6"/>
        <v>0</v>
      </c>
      <c r="K236" s="18">
        <f t="shared" si="7"/>
        <v>4</v>
      </c>
      <c r="L236" s="20" t="e">
        <f>IF(H236="Shipped",'Capacity &amp; Cost Dashboard'!D27+'Capacity &amp; Cost Dashboard'!D28*D236*INDEX('Capacity &amp; Cost Dashboard'!$C$31:$C$38,MATCH(INDEX(Products!$C$2:$C$31,MATCH(C236,Products!$A$2:$A$31,0)),'Capacity &amp; Cost Dashboard'!$B$31:$B$38,0)),0)</f>
        <v>#N/A</v>
      </c>
    </row>
    <row r="237" spans="1:12" ht="18" x14ac:dyDescent="0.2">
      <c r="A237" s="17">
        <v>827</v>
      </c>
      <c r="B237" s="17" t="s">
        <v>838</v>
      </c>
      <c r="C237" s="17" t="s">
        <v>147</v>
      </c>
      <c r="D237" s="17">
        <v>33</v>
      </c>
      <c r="E237" s="17" t="s">
        <v>177</v>
      </c>
      <c r="F237" s="17" t="s">
        <v>376</v>
      </c>
      <c r="G237" s="17" t="s">
        <v>379</v>
      </c>
      <c r="H237" s="17" t="s">
        <v>828</v>
      </c>
      <c r="I237" s="17">
        <v>4</v>
      </c>
      <c r="J237" s="18">
        <f t="shared" si="6"/>
        <v>0</v>
      </c>
      <c r="K237" s="18">
        <f t="shared" si="7"/>
        <v>5</v>
      </c>
      <c r="L237" s="20">
        <f>IF(H237="Shipped",'Capacity &amp; Cost Dashboard'!D27+'Capacity &amp; Cost Dashboard'!D28*D237*INDEX('Capacity &amp; Cost Dashboard'!$C$31:$C$38,MATCH(INDEX(Products!$C$2:$C$31,MATCH(C237,Products!$A$2:$A$31,0)),'Capacity &amp; Cost Dashboard'!$B$31:$B$38,0)),0)</f>
        <v>12.455</v>
      </c>
    </row>
    <row r="238" spans="1:12" ht="18" x14ac:dyDescent="0.2">
      <c r="A238" s="17">
        <v>828</v>
      </c>
      <c r="B238" s="17" t="s">
        <v>830</v>
      </c>
      <c r="C238" s="17" t="s">
        <v>95</v>
      </c>
      <c r="D238" s="17">
        <v>26</v>
      </c>
      <c r="E238" s="17" t="s">
        <v>376</v>
      </c>
      <c r="F238" s="17" t="s">
        <v>389</v>
      </c>
      <c r="G238" s="17" t="s">
        <v>178</v>
      </c>
      <c r="H238" s="17" t="s">
        <v>828</v>
      </c>
      <c r="I238" s="17">
        <v>5</v>
      </c>
      <c r="J238" s="18">
        <f t="shared" si="6"/>
        <v>0</v>
      </c>
      <c r="K238" s="18">
        <f t="shared" si="7"/>
        <v>5</v>
      </c>
      <c r="L238" s="20" t="e">
        <f>IF(H238="Shipped",'Capacity &amp; Cost Dashboard'!D27+'Capacity &amp; Cost Dashboard'!D28*D238*INDEX('Capacity &amp; Cost Dashboard'!$C$31:$C$38,MATCH(INDEX(Products!$C$2:$C$31,MATCH(C238,Products!$A$2:$A$31,0)),'Capacity &amp; Cost Dashboard'!$B$31:$B$38,0)),0)</f>
        <v>#N/A</v>
      </c>
    </row>
    <row r="239" spans="1:12" ht="18" x14ac:dyDescent="0.2">
      <c r="A239" s="17">
        <v>829</v>
      </c>
      <c r="B239" s="17" t="s">
        <v>845</v>
      </c>
      <c r="C239" s="17" t="s">
        <v>104</v>
      </c>
      <c r="D239" s="17">
        <v>5</v>
      </c>
      <c r="E239" s="17" t="s">
        <v>379</v>
      </c>
      <c r="F239" s="17" t="s">
        <v>389</v>
      </c>
      <c r="G239" s="17" t="s">
        <v>389</v>
      </c>
      <c r="H239" s="17" t="s">
        <v>828</v>
      </c>
      <c r="I239" s="17">
        <v>4</v>
      </c>
      <c r="J239" s="18">
        <f t="shared" si="6"/>
        <v>0</v>
      </c>
      <c r="K239" s="18">
        <f t="shared" si="7"/>
        <v>5</v>
      </c>
      <c r="L239" s="20">
        <f>IF(H239="Shipped",'Capacity &amp; Cost Dashboard'!D27+'Capacity &amp; Cost Dashboard'!D28*D239*INDEX('Capacity &amp; Cost Dashboard'!$C$31:$C$38,MATCH(INDEX(Products!$C$2:$C$31,MATCH(C239,Products!$A$2:$A$31,0)),'Capacity &amp; Cost Dashboard'!$B$31:$B$38,0)),0)</f>
        <v>19.25</v>
      </c>
    </row>
    <row r="240" spans="1:12" ht="18" x14ac:dyDescent="0.2">
      <c r="A240" s="17">
        <v>830</v>
      </c>
      <c r="B240" s="17" t="s">
        <v>826</v>
      </c>
      <c r="C240" s="17" t="s">
        <v>154</v>
      </c>
      <c r="D240" s="17">
        <v>1</v>
      </c>
      <c r="E240" s="17" t="s">
        <v>177</v>
      </c>
      <c r="F240" s="17" t="s">
        <v>382</v>
      </c>
      <c r="G240" s="17" t="s">
        <v>382</v>
      </c>
      <c r="H240" s="17" t="s">
        <v>828</v>
      </c>
      <c r="I240" s="17">
        <v>5</v>
      </c>
      <c r="J240" s="18">
        <f t="shared" si="6"/>
        <v>0</v>
      </c>
      <c r="K240" s="18">
        <f t="shared" si="7"/>
        <v>5</v>
      </c>
      <c r="L240" s="20">
        <f>IF(H240="Shipped",'Capacity &amp; Cost Dashboard'!D27+'Capacity &amp; Cost Dashboard'!D28*D240*INDEX('Capacity &amp; Cost Dashboard'!$C$31:$C$38,MATCH(INDEX(Products!$C$2:$C$31,MATCH(C240,Products!$A$2:$A$31,0)),'Capacity &amp; Cost Dashboard'!$B$31:$B$38,0)),0)</f>
        <v>8.6750000000000007</v>
      </c>
    </row>
    <row r="241" spans="1:12" ht="18" x14ac:dyDescent="0.2">
      <c r="A241" s="17">
        <v>831</v>
      </c>
      <c r="B241" s="17" t="s">
        <v>853</v>
      </c>
      <c r="C241" s="17" t="s">
        <v>139</v>
      </c>
      <c r="D241" s="17">
        <v>16</v>
      </c>
      <c r="E241" s="17" t="s">
        <v>376</v>
      </c>
      <c r="F241" s="17" t="s">
        <v>410</v>
      </c>
      <c r="G241" s="17" t="s">
        <v>179</v>
      </c>
      <c r="H241" s="17" t="s">
        <v>828</v>
      </c>
      <c r="I241" s="17">
        <v>3</v>
      </c>
      <c r="J241" s="18">
        <f t="shared" si="6"/>
        <v>1</v>
      </c>
      <c r="K241" s="18">
        <f t="shared" si="7"/>
        <v>5</v>
      </c>
      <c r="L241" s="20">
        <f>IF(H241="Shipped",'Capacity &amp; Cost Dashboard'!D27+'Capacity &amp; Cost Dashboard'!D28*D241*INDEX('Capacity &amp; Cost Dashboard'!$C$31:$C$38,MATCH(INDEX(Products!$C$2:$C$31,MATCH(C241,Products!$A$2:$A$31,0)),'Capacity &amp; Cost Dashboard'!$B$31:$B$38,0)),0)</f>
        <v>10.16</v>
      </c>
    </row>
    <row r="242" spans="1:12" ht="18" x14ac:dyDescent="0.2">
      <c r="A242" s="17">
        <v>832</v>
      </c>
      <c r="B242" s="17" t="s">
        <v>842</v>
      </c>
      <c r="C242" s="17" t="s">
        <v>145</v>
      </c>
      <c r="D242" s="17">
        <v>2</v>
      </c>
      <c r="E242" s="17" t="s">
        <v>177</v>
      </c>
      <c r="F242" s="17" t="s">
        <v>376</v>
      </c>
      <c r="G242" s="17" t="s">
        <v>178</v>
      </c>
      <c r="H242" s="17" t="s">
        <v>828</v>
      </c>
      <c r="I242" s="17">
        <v>2</v>
      </c>
      <c r="J242" s="18">
        <f t="shared" si="6"/>
        <v>1</v>
      </c>
      <c r="K242" s="18">
        <f t="shared" si="7"/>
        <v>5</v>
      </c>
      <c r="L242" s="20">
        <f>IF(H242="Shipped",'Capacity &amp; Cost Dashboard'!D27+'Capacity &amp; Cost Dashboard'!D28*D242*INDEX('Capacity &amp; Cost Dashboard'!$C$31:$C$38,MATCH(INDEX(Products!$C$2:$C$31,MATCH(C242,Products!$A$2:$A$31,0)),'Capacity &amp; Cost Dashboard'!$B$31:$B$38,0)),0)</f>
        <v>8.27</v>
      </c>
    </row>
    <row r="243" spans="1:12" ht="18" x14ac:dyDescent="0.2">
      <c r="A243" s="17">
        <v>833</v>
      </c>
      <c r="B243" s="17" t="s">
        <v>847</v>
      </c>
      <c r="C243" s="17" t="s">
        <v>149</v>
      </c>
      <c r="D243" s="17">
        <v>4</v>
      </c>
      <c r="E243" s="17" t="s">
        <v>352</v>
      </c>
      <c r="F243" s="17" t="s">
        <v>178</v>
      </c>
      <c r="G243" s="17" t="s">
        <v>178</v>
      </c>
      <c r="H243" s="17" t="s">
        <v>828</v>
      </c>
      <c r="I243" s="17">
        <v>4</v>
      </c>
      <c r="J243" s="18">
        <f t="shared" si="6"/>
        <v>0</v>
      </c>
      <c r="K243" s="18">
        <f t="shared" si="7"/>
        <v>5</v>
      </c>
      <c r="L243" s="20">
        <f>IF(H243="Shipped",'Capacity &amp; Cost Dashboard'!D27+'Capacity &amp; Cost Dashboard'!D28*D243*INDEX('Capacity &amp; Cost Dashboard'!$C$31:$C$38,MATCH(INDEX(Products!$C$2:$C$31,MATCH(C243,Products!$A$2:$A$31,0)),'Capacity &amp; Cost Dashboard'!$B$31:$B$38,0)),0)</f>
        <v>10.7</v>
      </c>
    </row>
    <row r="244" spans="1:12" ht="18" x14ac:dyDescent="0.2">
      <c r="A244" s="17">
        <v>834</v>
      </c>
      <c r="B244" s="17" t="s">
        <v>844</v>
      </c>
      <c r="C244" s="17" t="s">
        <v>147</v>
      </c>
      <c r="D244" s="17">
        <v>12</v>
      </c>
      <c r="E244" s="17" t="s">
        <v>379</v>
      </c>
      <c r="F244" s="17" t="s">
        <v>394</v>
      </c>
      <c r="G244" s="17" t="s">
        <v>394</v>
      </c>
      <c r="H244" s="17" t="s">
        <v>828</v>
      </c>
      <c r="I244" s="17">
        <v>5</v>
      </c>
      <c r="J244" s="18">
        <f t="shared" si="6"/>
        <v>0</v>
      </c>
      <c r="K244" s="18">
        <f t="shared" si="7"/>
        <v>5</v>
      </c>
      <c r="L244" s="20">
        <f>IF(H244="Shipped",'Capacity &amp; Cost Dashboard'!D27+'Capacity &amp; Cost Dashboard'!D28*D244*INDEX('Capacity &amp; Cost Dashboard'!$C$31:$C$38,MATCH(INDEX(Products!$C$2:$C$31,MATCH(C244,Products!$A$2:$A$31,0)),'Capacity &amp; Cost Dashboard'!$B$31:$B$38,0)),0)</f>
        <v>9.620000000000001</v>
      </c>
    </row>
    <row r="245" spans="1:12" ht="18" x14ac:dyDescent="0.2">
      <c r="A245" s="17">
        <v>835</v>
      </c>
      <c r="B245" s="17" t="s">
        <v>849</v>
      </c>
      <c r="C245" s="17" t="s">
        <v>141</v>
      </c>
      <c r="D245" s="17">
        <v>7</v>
      </c>
      <c r="E245" s="17" t="s">
        <v>352</v>
      </c>
      <c r="F245" s="17" t="s">
        <v>178</v>
      </c>
      <c r="G245" s="17" t="s">
        <v>178</v>
      </c>
      <c r="H245" s="17" t="s">
        <v>828</v>
      </c>
      <c r="I245" s="17">
        <v>5</v>
      </c>
      <c r="J245" s="18">
        <f t="shared" si="6"/>
        <v>0</v>
      </c>
      <c r="K245" s="18">
        <f t="shared" si="7"/>
        <v>5</v>
      </c>
      <c r="L245" s="20">
        <f>IF(H245="Shipped",'Capacity &amp; Cost Dashboard'!D27+'Capacity &amp; Cost Dashboard'!D28*D245*INDEX('Capacity &amp; Cost Dashboard'!$C$31:$C$38,MATCH(INDEX(Products!$C$2:$C$31,MATCH(C245,Products!$A$2:$A$31,0)),'Capacity &amp; Cost Dashboard'!$B$31:$B$38,0)),0)</f>
        <v>8.9450000000000003</v>
      </c>
    </row>
    <row r="246" spans="1:12" ht="18" x14ac:dyDescent="0.2">
      <c r="A246" s="17">
        <v>836</v>
      </c>
      <c r="B246" s="17" t="s">
        <v>847</v>
      </c>
      <c r="C246" s="17" t="s">
        <v>159</v>
      </c>
      <c r="D246" s="17">
        <v>2</v>
      </c>
      <c r="E246" s="17" t="s">
        <v>177</v>
      </c>
      <c r="F246" s="17" t="s">
        <v>382</v>
      </c>
      <c r="G246" s="17" t="s">
        <v>376</v>
      </c>
      <c r="H246" s="17" t="s">
        <v>828</v>
      </c>
      <c r="I246" s="17">
        <v>4</v>
      </c>
      <c r="J246" s="18">
        <f t="shared" si="6"/>
        <v>0</v>
      </c>
      <c r="K246" s="18">
        <f t="shared" si="7"/>
        <v>5</v>
      </c>
      <c r="L246" s="20">
        <f>IF(H246="Shipped",'Capacity &amp; Cost Dashboard'!D27+'Capacity &amp; Cost Dashboard'!D28*D246*INDEX('Capacity &amp; Cost Dashboard'!$C$31:$C$38,MATCH(INDEX(Products!$C$2:$C$31,MATCH(C246,Products!$A$2:$A$31,0)),'Capacity &amp; Cost Dashboard'!$B$31:$B$38,0)),0)</f>
        <v>10.7</v>
      </c>
    </row>
    <row r="247" spans="1:12" ht="18" x14ac:dyDescent="0.2">
      <c r="A247" s="17">
        <v>837</v>
      </c>
      <c r="B247" s="17" t="s">
        <v>849</v>
      </c>
      <c r="C247" s="17" t="s">
        <v>143</v>
      </c>
      <c r="D247" s="17">
        <v>17</v>
      </c>
      <c r="E247" s="17" t="s">
        <v>177</v>
      </c>
      <c r="F247" s="17" t="s">
        <v>382</v>
      </c>
      <c r="G247" s="17" t="s">
        <v>382</v>
      </c>
      <c r="H247" s="17" t="s">
        <v>828</v>
      </c>
      <c r="I247" s="17">
        <v>5</v>
      </c>
      <c r="J247" s="18">
        <f t="shared" si="6"/>
        <v>0</v>
      </c>
      <c r="K247" s="18">
        <f t="shared" si="7"/>
        <v>5</v>
      </c>
      <c r="L247" s="20">
        <f>IF(H247="Shipped",'Capacity &amp; Cost Dashboard'!D27+'Capacity &amp; Cost Dashboard'!D28*D247*INDEX('Capacity &amp; Cost Dashboard'!$C$31:$C$38,MATCH(INDEX(Products!$C$2:$C$31,MATCH(C247,Products!$A$2:$A$31,0)),'Capacity &amp; Cost Dashboard'!$B$31:$B$38,0)),0)</f>
        <v>10.295</v>
      </c>
    </row>
    <row r="248" spans="1:12" ht="18" x14ac:dyDescent="0.2">
      <c r="A248" s="17">
        <v>838</v>
      </c>
      <c r="B248" s="17" t="s">
        <v>838</v>
      </c>
      <c r="C248" s="17" t="s">
        <v>154</v>
      </c>
      <c r="D248" s="17">
        <v>1</v>
      </c>
      <c r="E248" s="17" t="s">
        <v>379</v>
      </c>
      <c r="F248" s="17" t="s">
        <v>178</v>
      </c>
      <c r="G248" s="17" t="s">
        <v>178</v>
      </c>
      <c r="H248" s="17" t="s">
        <v>828</v>
      </c>
      <c r="I248" s="17">
        <v>4</v>
      </c>
      <c r="J248" s="18">
        <f t="shared" si="6"/>
        <v>0</v>
      </c>
      <c r="K248" s="18">
        <f t="shared" si="7"/>
        <v>5</v>
      </c>
      <c r="L248" s="20">
        <f>IF(H248="Shipped",'Capacity &amp; Cost Dashboard'!D27+'Capacity &amp; Cost Dashboard'!D28*D248*INDEX('Capacity &amp; Cost Dashboard'!$C$31:$C$38,MATCH(INDEX(Products!$C$2:$C$31,MATCH(C248,Products!$A$2:$A$31,0)),'Capacity &amp; Cost Dashboard'!$B$31:$B$38,0)),0)</f>
        <v>8.6750000000000007</v>
      </c>
    </row>
    <row r="249" spans="1:12" ht="18" x14ac:dyDescent="0.2">
      <c r="A249" s="17">
        <v>839</v>
      </c>
      <c r="B249" s="17" t="s">
        <v>835</v>
      </c>
      <c r="C249" s="17" t="s">
        <v>147</v>
      </c>
      <c r="D249" s="17">
        <v>35</v>
      </c>
      <c r="E249" s="17" t="s">
        <v>379</v>
      </c>
      <c r="F249" s="17" t="s">
        <v>394</v>
      </c>
      <c r="G249" s="17" t="s">
        <v>394</v>
      </c>
      <c r="H249" s="17" t="s">
        <v>828</v>
      </c>
      <c r="I249" s="17">
        <v>5</v>
      </c>
      <c r="J249" s="18">
        <f t="shared" si="6"/>
        <v>0</v>
      </c>
      <c r="K249" s="18">
        <f t="shared" si="7"/>
        <v>5</v>
      </c>
      <c r="L249" s="20">
        <f>IF(H249="Shipped",'Capacity &amp; Cost Dashboard'!D27+'Capacity &amp; Cost Dashboard'!D28*D249*INDEX('Capacity &amp; Cost Dashboard'!$C$31:$C$38,MATCH(INDEX(Products!$C$2:$C$31,MATCH(C249,Products!$A$2:$A$31,0)),'Capacity &amp; Cost Dashboard'!$B$31:$B$38,0)),0)</f>
        <v>12.725</v>
      </c>
    </row>
    <row r="250" spans="1:12" ht="18" x14ac:dyDescent="0.2">
      <c r="A250" s="17">
        <v>840</v>
      </c>
      <c r="B250" s="17" t="s">
        <v>843</v>
      </c>
      <c r="C250" s="17" t="s">
        <v>127</v>
      </c>
      <c r="D250" s="17">
        <v>2</v>
      </c>
      <c r="E250" s="17" t="s">
        <v>177</v>
      </c>
      <c r="F250" s="17" t="s">
        <v>376</v>
      </c>
      <c r="G250" s="17" t="s">
        <v>376</v>
      </c>
      <c r="H250" s="17" t="s">
        <v>828</v>
      </c>
      <c r="I250" s="17">
        <v>5</v>
      </c>
      <c r="J250" s="18">
        <f t="shared" si="6"/>
        <v>0</v>
      </c>
      <c r="K250" s="18">
        <f t="shared" si="7"/>
        <v>5</v>
      </c>
      <c r="L250" s="20">
        <f>IF(H250="Shipped",'Capacity &amp; Cost Dashboard'!D27+'Capacity &amp; Cost Dashboard'!D28*D250*INDEX('Capacity &amp; Cost Dashboard'!$C$31:$C$38,MATCH(INDEX(Products!$C$2:$C$31,MATCH(C250,Products!$A$2:$A$31,0)),'Capacity &amp; Cost Dashboard'!$B$31:$B$38,0)),0)</f>
        <v>9.8000000000000007</v>
      </c>
    </row>
    <row r="251" spans="1:12" ht="18" x14ac:dyDescent="0.2">
      <c r="A251" s="17">
        <v>841</v>
      </c>
      <c r="B251" s="17" t="s">
        <v>857</v>
      </c>
      <c r="C251" s="17" t="s">
        <v>118</v>
      </c>
      <c r="D251" s="17">
        <v>4</v>
      </c>
      <c r="E251" s="17" t="s">
        <v>379</v>
      </c>
      <c r="F251" s="17" t="s">
        <v>178</v>
      </c>
      <c r="G251" s="17" t="s">
        <v>394</v>
      </c>
      <c r="H251" s="17" t="s">
        <v>828</v>
      </c>
      <c r="I251" s="17">
        <v>4</v>
      </c>
      <c r="J251" s="18">
        <f t="shared" si="6"/>
        <v>0</v>
      </c>
      <c r="K251" s="18">
        <f t="shared" si="7"/>
        <v>5</v>
      </c>
      <c r="L251" s="20">
        <f>IF(H251="Shipped",'Capacity &amp; Cost Dashboard'!D27+'Capacity &amp; Cost Dashboard'!D28*D251*INDEX('Capacity &amp; Cost Dashboard'!$C$31:$C$38,MATCH(INDEX(Products!$C$2:$C$31,MATCH(C251,Products!$A$2:$A$31,0)),'Capacity &amp; Cost Dashboard'!$B$31:$B$38,0)),0)</f>
        <v>11.6</v>
      </c>
    </row>
    <row r="252" spans="1:12" ht="18" x14ac:dyDescent="0.2">
      <c r="A252" s="17">
        <v>842</v>
      </c>
      <c r="B252" s="17" t="s">
        <v>848</v>
      </c>
      <c r="C252" s="17" t="s">
        <v>134</v>
      </c>
      <c r="D252" s="17">
        <v>3</v>
      </c>
      <c r="E252" s="17" t="s">
        <v>355</v>
      </c>
      <c r="F252" s="17" t="s">
        <v>376</v>
      </c>
      <c r="G252" s="17" t="s">
        <v>410</v>
      </c>
      <c r="H252" s="17" t="s">
        <v>828</v>
      </c>
      <c r="I252" s="17">
        <v>2</v>
      </c>
      <c r="J252" s="18">
        <f t="shared" si="6"/>
        <v>1</v>
      </c>
      <c r="K252" s="18">
        <f t="shared" si="7"/>
        <v>5</v>
      </c>
      <c r="L252" s="20">
        <f>IF(H252="Shipped",'Capacity &amp; Cost Dashboard'!D27+'Capacity &amp; Cost Dashboard'!D28*D252*INDEX('Capacity &amp; Cost Dashboard'!$C$31:$C$38,MATCH(INDEX(Products!$C$2:$C$31,MATCH(C252,Products!$A$2:$A$31,0)),'Capacity &amp; Cost Dashboard'!$B$31:$B$38,0)),0)</f>
        <v>10.7</v>
      </c>
    </row>
    <row r="253" spans="1:12" ht="18" x14ac:dyDescent="0.2">
      <c r="A253" s="17">
        <v>843</v>
      </c>
      <c r="B253" s="17" t="s">
        <v>835</v>
      </c>
      <c r="C253" s="17" t="s">
        <v>118</v>
      </c>
      <c r="D253" s="17">
        <v>10</v>
      </c>
      <c r="E253" s="17" t="s">
        <v>352</v>
      </c>
      <c r="F253" s="17" t="s">
        <v>382</v>
      </c>
      <c r="G253" s="17" t="s">
        <v>382</v>
      </c>
      <c r="H253" s="17" t="s">
        <v>828</v>
      </c>
      <c r="I253" s="17">
        <v>5</v>
      </c>
      <c r="J253" s="18">
        <f t="shared" si="6"/>
        <v>0</v>
      </c>
      <c r="K253" s="18">
        <f t="shared" si="7"/>
        <v>5</v>
      </c>
      <c r="L253" s="20">
        <f>IF(H253="Shipped",'Capacity &amp; Cost Dashboard'!D27+'Capacity &amp; Cost Dashboard'!D28*D253*INDEX('Capacity &amp; Cost Dashboard'!$C$31:$C$38,MATCH(INDEX(Products!$C$2:$C$31,MATCH(C253,Products!$A$2:$A$31,0)),'Capacity &amp; Cost Dashboard'!$B$31:$B$38,0)),0)</f>
        <v>17</v>
      </c>
    </row>
    <row r="254" spans="1:12" ht="18" x14ac:dyDescent="0.2">
      <c r="A254" s="17">
        <v>844</v>
      </c>
      <c r="B254" s="17" t="s">
        <v>849</v>
      </c>
      <c r="C254" s="17" t="s">
        <v>95</v>
      </c>
      <c r="D254" s="17">
        <v>3</v>
      </c>
      <c r="E254" s="17" t="s">
        <v>352</v>
      </c>
      <c r="F254" s="17" t="s">
        <v>178</v>
      </c>
      <c r="G254" s="17" t="s">
        <v>394</v>
      </c>
      <c r="H254" s="17" t="s">
        <v>828</v>
      </c>
      <c r="I254" s="17">
        <v>4</v>
      </c>
      <c r="J254" s="18">
        <f t="shared" si="6"/>
        <v>0</v>
      </c>
      <c r="K254" s="18">
        <f t="shared" si="7"/>
        <v>5</v>
      </c>
      <c r="L254" s="20" t="e">
        <f>IF(H254="Shipped",'Capacity &amp; Cost Dashboard'!D27+'Capacity &amp; Cost Dashboard'!D28*D254*INDEX('Capacity &amp; Cost Dashboard'!$C$31:$C$38,MATCH(INDEX(Products!$C$2:$C$31,MATCH(C254,Products!$A$2:$A$31,0)),'Capacity &amp; Cost Dashboard'!$B$31:$B$38,0)),0)</f>
        <v>#N/A</v>
      </c>
    </row>
    <row r="255" spans="1:12" ht="18" x14ac:dyDescent="0.2">
      <c r="A255" s="17">
        <v>845</v>
      </c>
      <c r="B255" s="17" t="s">
        <v>844</v>
      </c>
      <c r="C255" s="17" t="s">
        <v>152</v>
      </c>
      <c r="D255" s="17">
        <v>8</v>
      </c>
      <c r="E255" s="17" t="s">
        <v>376</v>
      </c>
      <c r="F255" s="17" t="s">
        <v>389</v>
      </c>
      <c r="G255" s="17" t="s">
        <v>178</v>
      </c>
      <c r="H255" s="17" t="s">
        <v>828</v>
      </c>
      <c r="I255" s="17">
        <v>5</v>
      </c>
      <c r="J255" s="18">
        <f t="shared" si="6"/>
        <v>0</v>
      </c>
      <c r="K255" s="18">
        <f t="shared" si="7"/>
        <v>5</v>
      </c>
      <c r="L255" s="20">
        <f>IF(H255="Shipped",'Capacity &amp; Cost Dashboard'!D27+'Capacity &amp; Cost Dashboard'!D28*D255*INDEX('Capacity &amp; Cost Dashboard'!$C$31:$C$38,MATCH(INDEX(Products!$C$2:$C$31,MATCH(C255,Products!$A$2:$A$31,0)),'Capacity &amp; Cost Dashboard'!$B$31:$B$38,0)),0)</f>
        <v>13.4</v>
      </c>
    </row>
    <row r="256" spans="1:12" ht="18" x14ac:dyDescent="0.2">
      <c r="A256" s="17">
        <v>846</v>
      </c>
      <c r="B256" s="17" t="s">
        <v>832</v>
      </c>
      <c r="C256" s="17" t="s">
        <v>152</v>
      </c>
      <c r="D256" s="17">
        <v>2</v>
      </c>
      <c r="E256" s="17" t="s">
        <v>355</v>
      </c>
      <c r="F256" s="17" t="s">
        <v>394</v>
      </c>
      <c r="G256" s="17" t="s">
        <v>382</v>
      </c>
      <c r="H256" s="17" t="s">
        <v>828</v>
      </c>
      <c r="I256" s="17">
        <v>4</v>
      </c>
      <c r="J256" s="18">
        <f t="shared" si="6"/>
        <v>0</v>
      </c>
      <c r="K256" s="18">
        <f t="shared" si="7"/>
        <v>5</v>
      </c>
      <c r="L256" s="20">
        <f>IF(H256="Shipped",'Capacity &amp; Cost Dashboard'!D27+'Capacity &amp; Cost Dashboard'!D28*D256*INDEX('Capacity &amp; Cost Dashboard'!$C$31:$C$38,MATCH(INDEX(Products!$C$2:$C$31,MATCH(C256,Products!$A$2:$A$31,0)),'Capacity &amp; Cost Dashboard'!$B$31:$B$38,0)),0)</f>
        <v>9.35</v>
      </c>
    </row>
    <row r="257" spans="1:12" ht="18" x14ac:dyDescent="0.2">
      <c r="A257" s="17">
        <v>847</v>
      </c>
      <c r="B257" s="17" t="s">
        <v>838</v>
      </c>
      <c r="C257" s="17" t="s">
        <v>123</v>
      </c>
      <c r="D257" s="17">
        <v>7</v>
      </c>
      <c r="E257" s="17" t="s">
        <v>177</v>
      </c>
      <c r="F257" s="17" t="s">
        <v>382</v>
      </c>
      <c r="G257" s="17" t="s">
        <v>376</v>
      </c>
      <c r="H257" s="17" t="s">
        <v>828</v>
      </c>
      <c r="I257" s="17">
        <v>5</v>
      </c>
      <c r="J257" s="18">
        <f t="shared" si="6"/>
        <v>0</v>
      </c>
      <c r="K257" s="18">
        <f t="shared" si="7"/>
        <v>5</v>
      </c>
      <c r="L257" s="20">
        <f>IF(H257="Shipped",'Capacity &amp; Cost Dashboard'!D27+'Capacity &amp; Cost Dashboard'!D28*D257*INDEX('Capacity &amp; Cost Dashboard'!$C$31:$C$38,MATCH(INDEX(Products!$C$2:$C$31,MATCH(C257,Products!$A$2:$A$31,0)),'Capacity &amp; Cost Dashboard'!$B$31:$B$38,0)),0)</f>
        <v>11.15</v>
      </c>
    </row>
    <row r="258" spans="1:12" ht="18" x14ac:dyDescent="0.2">
      <c r="A258" s="17">
        <v>848</v>
      </c>
      <c r="B258" s="17" t="s">
        <v>855</v>
      </c>
      <c r="C258" s="17" t="s">
        <v>125</v>
      </c>
      <c r="D258" s="17">
        <v>15</v>
      </c>
      <c r="E258" s="17" t="s">
        <v>355</v>
      </c>
      <c r="F258" s="17" t="s">
        <v>394</v>
      </c>
      <c r="G258" s="17" t="s">
        <v>394</v>
      </c>
      <c r="H258" s="17" t="s">
        <v>828</v>
      </c>
      <c r="I258" s="17">
        <v>4</v>
      </c>
      <c r="J258" s="18">
        <f t="shared" ref="J258:J321" si="8">IF(H258="Shipped",IF(G258&gt;F258,1,0),"")</f>
        <v>0</v>
      </c>
      <c r="K258" s="18">
        <f t="shared" ref="K258:K321" si="9">INT((DATEVALUE(E258)-DATE(2026,4,6))/7)</f>
        <v>5</v>
      </c>
      <c r="L258" s="20">
        <f>IF(H258="Shipped",'Capacity &amp; Cost Dashboard'!D27+'Capacity &amp; Cost Dashboard'!D28*D258*INDEX('Capacity &amp; Cost Dashboard'!$C$31:$C$38,MATCH(INDEX(Products!$C$2:$C$31,MATCH(C258,Products!$A$2:$A$31,0)),'Capacity &amp; Cost Dashboard'!$B$31:$B$38,0)),0)</f>
        <v>14.75</v>
      </c>
    </row>
    <row r="259" spans="1:12" ht="18" x14ac:dyDescent="0.2">
      <c r="A259" s="17">
        <v>849</v>
      </c>
      <c r="B259" s="17" t="s">
        <v>839</v>
      </c>
      <c r="C259" s="17" t="s">
        <v>159</v>
      </c>
      <c r="D259" s="17">
        <v>3</v>
      </c>
      <c r="E259" s="17" t="s">
        <v>376</v>
      </c>
      <c r="F259" s="17" t="s">
        <v>410</v>
      </c>
      <c r="G259" s="17" t="s">
        <v>410</v>
      </c>
      <c r="H259" s="17" t="s">
        <v>828</v>
      </c>
      <c r="I259" s="17">
        <v>5</v>
      </c>
      <c r="J259" s="18">
        <f t="shared" si="8"/>
        <v>0</v>
      </c>
      <c r="K259" s="18">
        <f t="shared" si="9"/>
        <v>5</v>
      </c>
      <c r="L259" s="20">
        <f>IF(H259="Shipped",'Capacity &amp; Cost Dashboard'!D27+'Capacity &amp; Cost Dashboard'!D28*D259*INDEX('Capacity &amp; Cost Dashboard'!$C$31:$C$38,MATCH(INDEX(Products!$C$2:$C$31,MATCH(C259,Products!$A$2:$A$31,0)),'Capacity &amp; Cost Dashboard'!$B$31:$B$38,0)),0)</f>
        <v>12.05</v>
      </c>
    </row>
    <row r="260" spans="1:12" ht="18" x14ac:dyDescent="0.2">
      <c r="A260" s="17">
        <v>850</v>
      </c>
      <c r="B260" s="17" t="s">
        <v>850</v>
      </c>
      <c r="C260" s="17" t="s">
        <v>100</v>
      </c>
      <c r="D260" s="17">
        <v>21</v>
      </c>
      <c r="E260" s="17" t="s">
        <v>379</v>
      </c>
      <c r="F260" s="17" t="s">
        <v>389</v>
      </c>
      <c r="G260" s="17" t="s">
        <v>178</v>
      </c>
      <c r="H260" s="17" t="s">
        <v>828</v>
      </c>
      <c r="I260" s="17">
        <v>5</v>
      </c>
      <c r="J260" s="18">
        <f t="shared" si="8"/>
        <v>0</v>
      </c>
      <c r="K260" s="18">
        <f t="shared" si="9"/>
        <v>5</v>
      </c>
      <c r="L260" s="20" t="e">
        <f>IF(H260="Shipped",'Capacity &amp; Cost Dashboard'!D27+'Capacity &amp; Cost Dashboard'!D28*D260*INDEX('Capacity &amp; Cost Dashboard'!$C$31:$C$38,MATCH(INDEX(Products!$C$2:$C$31,MATCH(C260,Products!$A$2:$A$31,0)),'Capacity &amp; Cost Dashboard'!$B$31:$B$38,0)),0)</f>
        <v>#N/A</v>
      </c>
    </row>
    <row r="261" spans="1:12" ht="18" x14ac:dyDescent="0.2">
      <c r="A261" s="17">
        <v>851</v>
      </c>
      <c r="B261" s="17" t="s">
        <v>833</v>
      </c>
      <c r="C261" s="17" t="s">
        <v>147</v>
      </c>
      <c r="D261" s="17">
        <v>3</v>
      </c>
      <c r="E261" s="17" t="s">
        <v>355</v>
      </c>
      <c r="F261" s="17" t="s">
        <v>376</v>
      </c>
      <c r="G261" s="17" t="s">
        <v>379</v>
      </c>
      <c r="H261" s="17" t="s">
        <v>828</v>
      </c>
      <c r="I261" s="17">
        <v>5</v>
      </c>
      <c r="J261" s="18">
        <f t="shared" si="8"/>
        <v>0</v>
      </c>
      <c r="K261" s="18">
        <f t="shared" si="9"/>
        <v>5</v>
      </c>
      <c r="L261" s="20">
        <f>IF(H261="Shipped",'Capacity &amp; Cost Dashboard'!D27+'Capacity &amp; Cost Dashboard'!D28*D261*INDEX('Capacity &amp; Cost Dashboard'!$C$31:$C$38,MATCH(INDEX(Products!$C$2:$C$31,MATCH(C261,Products!$A$2:$A$31,0)),'Capacity &amp; Cost Dashboard'!$B$31:$B$38,0)),0)</f>
        <v>8.4049999999999994</v>
      </c>
    </row>
    <row r="262" spans="1:12" ht="18" x14ac:dyDescent="0.2">
      <c r="A262" s="17">
        <v>852</v>
      </c>
      <c r="B262" s="17" t="s">
        <v>848</v>
      </c>
      <c r="C262" s="17" t="s">
        <v>111</v>
      </c>
      <c r="D262" s="17">
        <v>26</v>
      </c>
      <c r="E262" s="17" t="s">
        <v>177</v>
      </c>
      <c r="F262" s="17" t="s">
        <v>382</v>
      </c>
      <c r="G262" s="17" t="s">
        <v>389</v>
      </c>
      <c r="H262" s="17" t="s">
        <v>828</v>
      </c>
      <c r="I262" s="17">
        <v>2</v>
      </c>
      <c r="J262" s="18">
        <f t="shared" si="8"/>
        <v>1</v>
      </c>
      <c r="K262" s="18">
        <f t="shared" si="9"/>
        <v>5</v>
      </c>
      <c r="L262" s="20">
        <f>IF(H262="Shipped",'Capacity &amp; Cost Dashboard'!D27+'Capacity &amp; Cost Dashboard'!D28*D262*INDEX('Capacity &amp; Cost Dashboard'!$C$31:$C$38,MATCH(INDEX(Products!$C$2:$C$31,MATCH(C262,Products!$A$2:$A$31,0)),'Capacity &amp; Cost Dashboard'!$B$31:$B$38,0)),0)</f>
        <v>66.5</v>
      </c>
    </row>
    <row r="263" spans="1:12" ht="18" x14ac:dyDescent="0.2">
      <c r="A263" s="17">
        <v>853</v>
      </c>
      <c r="B263" s="17" t="s">
        <v>848</v>
      </c>
      <c r="C263" s="17" t="s">
        <v>113</v>
      </c>
      <c r="D263" s="17">
        <v>3</v>
      </c>
      <c r="E263" s="17" t="s">
        <v>352</v>
      </c>
      <c r="F263" s="17" t="s">
        <v>178</v>
      </c>
      <c r="G263" s="17" t="s">
        <v>178</v>
      </c>
      <c r="H263" s="17" t="s">
        <v>828</v>
      </c>
      <c r="I263" s="17">
        <v>5</v>
      </c>
      <c r="J263" s="18">
        <f t="shared" si="8"/>
        <v>0</v>
      </c>
      <c r="K263" s="18">
        <f t="shared" si="9"/>
        <v>5</v>
      </c>
      <c r="L263" s="20">
        <f>IF(H263="Shipped",'Capacity &amp; Cost Dashboard'!D27+'Capacity &amp; Cost Dashboard'!D28*D263*INDEX('Capacity &amp; Cost Dashboard'!$C$31:$C$38,MATCH(INDEX(Products!$C$2:$C$31,MATCH(C263,Products!$A$2:$A$31,0)),'Capacity &amp; Cost Dashboard'!$B$31:$B$38,0)),0)</f>
        <v>10.7</v>
      </c>
    </row>
    <row r="264" spans="1:12" ht="18" x14ac:dyDescent="0.2">
      <c r="A264" s="17">
        <v>854</v>
      </c>
      <c r="B264" s="17" t="s">
        <v>853</v>
      </c>
      <c r="C264" s="17" t="s">
        <v>154</v>
      </c>
      <c r="D264" s="17">
        <v>3</v>
      </c>
      <c r="E264" s="17" t="s">
        <v>355</v>
      </c>
      <c r="F264" s="17" t="s">
        <v>394</v>
      </c>
      <c r="G264" s="17" t="s">
        <v>394</v>
      </c>
      <c r="H264" s="17" t="s">
        <v>828</v>
      </c>
      <c r="I264" s="17">
        <v>5</v>
      </c>
      <c r="J264" s="18">
        <f t="shared" si="8"/>
        <v>0</v>
      </c>
      <c r="K264" s="18">
        <f t="shared" si="9"/>
        <v>5</v>
      </c>
      <c r="L264" s="20">
        <f>IF(H264="Shipped",'Capacity &amp; Cost Dashboard'!D27+'Capacity &amp; Cost Dashboard'!D28*D264*INDEX('Capacity &amp; Cost Dashboard'!$C$31:$C$38,MATCH(INDEX(Products!$C$2:$C$31,MATCH(C264,Products!$A$2:$A$31,0)),'Capacity &amp; Cost Dashboard'!$B$31:$B$38,0)),0)</f>
        <v>10.025</v>
      </c>
    </row>
    <row r="265" spans="1:12" ht="18" x14ac:dyDescent="0.2">
      <c r="A265" s="17">
        <v>855</v>
      </c>
      <c r="B265" s="17" t="s">
        <v>851</v>
      </c>
      <c r="C265" s="17" t="s">
        <v>98</v>
      </c>
      <c r="D265" s="17">
        <v>23</v>
      </c>
      <c r="E265" s="17" t="s">
        <v>379</v>
      </c>
      <c r="F265" s="17" t="s">
        <v>178</v>
      </c>
      <c r="G265" s="17" t="s">
        <v>389</v>
      </c>
      <c r="H265" s="17" t="s">
        <v>828</v>
      </c>
      <c r="I265" s="17">
        <v>3</v>
      </c>
      <c r="J265" s="18">
        <f t="shared" si="8"/>
        <v>1</v>
      </c>
      <c r="K265" s="18">
        <f t="shared" si="9"/>
        <v>5</v>
      </c>
      <c r="L265" s="20" t="e">
        <f>IF(H265="Shipped",'Capacity &amp; Cost Dashboard'!D27+'Capacity &amp; Cost Dashboard'!D28*D265*INDEX('Capacity &amp; Cost Dashboard'!$C$31:$C$38,MATCH(INDEX(Products!$C$2:$C$31,MATCH(C265,Products!$A$2:$A$31,0)),'Capacity &amp; Cost Dashboard'!$B$31:$B$38,0)),0)</f>
        <v>#N/A</v>
      </c>
    </row>
    <row r="266" spans="1:12" ht="18" x14ac:dyDescent="0.2">
      <c r="A266" s="17">
        <v>856</v>
      </c>
      <c r="B266" s="17" t="s">
        <v>852</v>
      </c>
      <c r="C266" s="17" t="s">
        <v>107</v>
      </c>
      <c r="D266" s="17">
        <v>10</v>
      </c>
      <c r="E266" s="17" t="s">
        <v>352</v>
      </c>
      <c r="F266" s="17" t="s">
        <v>178</v>
      </c>
      <c r="G266" s="17" t="s">
        <v>389</v>
      </c>
      <c r="H266" s="17" t="s">
        <v>828</v>
      </c>
      <c r="I266" s="17">
        <v>4</v>
      </c>
      <c r="J266" s="18">
        <f t="shared" si="8"/>
        <v>1</v>
      </c>
      <c r="K266" s="18">
        <f t="shared" si="9"/>
        <v>5</v>
      </c>
      <c r="L266" s="20">
        <f>IF(H266="Shipped",'Capacity &amp; Cost Dashboard'!D27+'Capacity &amp; Cost Dashboard'!D28*D266*INDEX('Capacity &amp; Cost Dashboard'!$C$31:$C$38,MATCH(INDEX(Products!$C$2:$C$31,MATCH(C266,Products!$A$2:$A$31,0)),'Capacity &amp; Cost Dashboard'!$B$31:$B$38,0)),0)</f>
        <v>30.5</v>
      </c>
    </row>
    <row r="267" spans="1:12" ht="18" x14ac:dyDescent="0.2">
      <c r="A267" s="17">
        <v>857</v>
      </c>
      <c r="B267" s="17" t="s">
        <v>830</v>
      </c>
      <c r="C267" s="17" t="s">
        <v>154</v>
      </c>
      <c r="D267" s="17">
        <v>5</v>
      </c>
      <c r="E267" s="17" t="s">
        <v>355</v>
      </c>
      <c r="F267" s="17" t="s">
        <v>382</v>
      </c>
      <c r="G267" s="17" t="s">
        <v>382</v>
      </c>
      <c r="H267" s="17" t="s">
        <v>828</v>
      </c>
      <c r="I267" s="17">
        <v>5</v>
      </c>
      <c r="J267" s="18">
        <f t="shared" si="8"/>
        <v>0</v>
      </c>
      <c r="K267" s="18">
        <f t="shared" si="9"/>
        <v>5</v>
      </c>
      <c r="L267" s="20">
        <f>IF(H267="Shipped",'Capacity &amp; Cost Dashboard'!D27+'Capacity &amp; Cost Dashboard'!D28*D267*INDEX('Capacity &amp; Cost Dashboard'!$C$31:$C$38,MATCH(INDEX(Products!$C$2:$C$31,MATCH(C267,Products!$A$2:$A$31,0)),'Capacity &amp; Cost Dashboard'!$B$31:$B$38,0)),0)</f>
        <v>11.375</v>
      </c>
    </row>
    <row r="268" spans="1:12" ht="18" x14ac:dyDescent="0.2">
      <c r="A268" s="17">
        <v>858</v>
      </c>
      <c r="B268" s="17" t="s">
        <v>829</v>
      </c>
      <c r="C268" s="17" t="s">
        <v>102</v>
      </c>
      <c r="D268" s="17">
        <v>9</v>
      </c>
      <c r="E268" s="17" t="s">
        <v>379</v>
      </c>
      <c r="F268" s="17" t="s">
        <v>389</v>
      </c>
      <c r="G268" s="17" t="s">
        <v>389</v>
      </c>
      <c r="H268" s="17" t="s">
        <v>828</v>
      </c>
      <c r="I268" s="17">
        <v>4</v>
      </c>
      <c r="J268" s="18">
        <f t="shared" si="8"/>
        <v>0</v>
      </c>
      <c r="K268" s="18">
        <f t="shared" si="9"/>
        <v>5</v>
      </c>
      <c r="L268" s="20" t="e">
        <f>IF(H268="Shipped",'Capacity &amp; Cost Dashboard'!D27+'Capacity &amp; Cost Dashboard'!D28*D268*INDEX('Capacity &amp; Cost Dashboard'!$C$31:$C$38,MATCH(INDEX(Products!$C$2:$C$31,MATCH(C268,Products!$A$2:$A$31,0)),'Capacity &amp; Cost Dashboard'!$B$31:$B$38,0)),0)</f>
        <v>#N/A</v>
      </c>
    </row>
    <row r="269" spans="1:12" ht="18" x14ac:dyDescent="0.2">
      <c r="A269" s="17">
        <v>859</v>
      </c>
      <c r="B269" s="17" t="s">
        <v>852</v>
      </c>
      <c r="C269" s="17" t="s">
        <v>152</v>
      </c>
      <c r="D269" s="17">
        <v>1</v>
      </c>
      <c r="E269" s="17" t="s">
        <v>376</v>
      </c>
      <c r="F269" s="17" t="s">
        <v>389</v>
      </c>
      <c r="G269" s="17" t="s">
        <v>410</v>
      </c>
      <c r="H269" s="17" t="s">
        <v>828</v>
      </c>
      <c r="I269" s="17">
        <v>3</v>
      </c>
      <c r="J269" s="18">
        <f t="shared" si="8"/>
        <v>1</v>
      </c>
      <c r="K269" s="18">
        <f t="shared" si="9"/>
        <v>5</v>
      </c>
      <c r="L269" s="20">
        <f>IF(H269="Shipped",'Capacity &amp; Cost Dashboard'!D27+'Capacity &amp; Cost Dashboard'!D28*D269*INDEX('Capacity &amp; Cost Dashboard'!$C$31:$C$38,MATCH(INDEX(Products!$C$2:$C$31,MATCH(C269,Products!$A$2:$A$31,0)),'Capacity &amp; Cost Dashboard'!$B$31:$B$38,0)),0)</f>
        <v>8.6750000000000007</v>
      </c>
    </row>
    <row r="270" spans="1:12" ht="18" x14ac:dyDescent="0.2">
      <c r="A270" s="17">
        <v>860</v>
      </c>
      <c r="B270" s="17" t="s">
        <v>840</v>
      </c>
      <c r="C270" s="17" t="s">
        <v>125</v>
      </c>
      <c r="D270" s="17">
        <v>1</v>
      </c>
      <c r="E270" s="17" t="s">
        <v>376</v>
      </c>
      <c r="F270" s="17" t="s">
        <v>178</v>
      </c>
      <c r="G270" s="17" t="s">
        <v>394</v>
      </c>
      <c r="H270" s="17" t="s">
        <v>828</v>
      </c>
      <c r="I270" s="17">
        <v>4</v>
      </c>
      <c r="J270" s="18">
        <f t="shared" si="8"/>
        <v>0</v>
      </c>
      <c r="K270" s="18">
        <f t="shared" si="9"/>
        <v>5</v>
      </c>
      <c r="L270" s="20">
        <f>IF(H270="Shipped",'Capacity &amp; Cost Dashboard'!D27+'Capacity &amp; Cost Dashboard'!D28*D270*INDEX('Capacity &amp; Cost Dashboard'!$C$31:$C$38,MATCH(INDEX(Products!$C$2:$C$31,MATCH(C270,Products!$A$2:$A$31,0)),'Capacity &amp; Cost Dashboard'!$B$31:$B$38,0)),0)</f>
        <v>8.4499999999999993</v>
      </c>
    </row>
    <row r="271" spans="1:12" ht="18" x14ac:dyDescent="0.2">
      <c r="A271" s="17">
        <v>861</v>
      </c>
      <c r="B271" s="17" t="s">
        <v>840</v>
      </c>
      <c r="C271" s="17" t="s">
        <v>116</v>
      </c>
      <c r="D271" s="17">
        <v>2</v>
      </c>
      <c r="E271" s="17" t="s">
        <v>177</v>
      </c>
      <c r="F271" s="17" t="s">
        <v>382</v>
      </c>
      <c r="G271" s="17" t="s">
        <v>410</v>
      </c>
      <c r="H271" s="17" t="s">
        <v>828</v>
      </c>
      <c r="I271" s="17">
        <v>4</v>
      </c>
      <c r="J271" s="18">
        <f t="shared" si="8"/>
        <v>1</v>
      </c>
      <c r="K271" s="18">
        <f t="shared" si="9"/>
        <v>5</v>
      </c>
      <c r="L271" s="20">
        <f>IF(H271="Shipped",'Capacity &amp; Cost Dashboard'!D27+'Capacity &amp; Cost Dashboard'!D28*D271*INDEX('Capacity &amp; Cost Dashboard'!$C$31:$C$38,MATCH(INDEX(Products!$C$2:$C$31,MATCH(C271,Products!$A$2:$A$31,0)),'Capacity &amp; Cost Dashboard'!$B$31:$B$38,0)),0)</f>
        <v>9.8000000000000007</v>
      </c>
    </row>
    <row r="272" spans="1:12" ht="18" x14ac:dyDescent="0.2">
      <c r="A272" s="17">
        <v>862</v>
      </c>
      <c r="B272" s="17" t="s">
        <v>848</v>
      </c>
      <c r="C272" s="17" t="s">
        <v>143</v>
      </c>
      <c r="D272" s="17">
        <v>15</v>
      </c>
      <c r="E272" s="17" t="s">
        <v>352</v>
      </c>
      <c r="F272" s="17" t="s">
        <v>394</v>
      </c>
      <c r="G272" s="17" t="s">
        <v>178</v>
      </c>
      <c r="H272" s="17" t="s">
        <v>828</v>
      </c>
      <c r="I272" s="17">
        <v>2</v>
      </c>
      <c r="J272" s="18">
        <f t="shared" si="8"/>
        <v>1</v>
      </c>
      <c r="K272" s="18">
        <f t="shared" si="9"/>
        <v>5</v>
      </c>
      <c r="L272" s="20">
        <f>IF(H272="Shipped",'Capacity &amp; Cost Dashboard'!D27+'Capacity &amp; Cost Dashboard'!D28*D272*INDEX('Capacity &amp; Cost Dashboard'!$C$31:$C$38,MATCH(INDEX(Products!$C$2:$C$31,MATCH(C272,Products!$A$2:$A$31,0)),'Capacity &amp; Cost Dashboard'!$B$31:$B$38,0)),0)</f>
        <v>10.025</v>
      </c>
    </row>
    <row r="273" spans="1:12" ht="18" x14ac:dyDescent="0.2">
      <c r="A273" s="17">
        <v>863</v>
      </c>
      <c r="B273" s="17" t="s">
        <v>849</v>
      </c>
      <c r="C273" s="17" t="s">
        <v>107</v>
      </c>
      <c r="D273" s="17">
        <v>11</v>
      </c>
      <c r="E273" s="17" t="s">
        <v>379</v>
      </c>
      <c r="F273" s="17" t="s">
        <v>389</v>
      </c>
      <c r="G273" s="17" t="s">
        <v>389</v>
      </c>
      <c r="H273" s="17" t="s">
        <v>828</v>
      </c>
      <c r="I273" s="17">
        <v>5</v>
      </c>
      <c r="J273" s="18">
        <f t="shared" si="8"/>
        <v>0</v>
      </c>
      <c r="K273" s="18">
        <f t="shared" si="9"/>
        <v>5</v>
      </c>
      <c r="L273" s="20">
        <f>IF(H273="Shipped",'Capacity &amp; Cost Dashboard'!D27+'Capacity &amp; Cost Dashboard'!D28*D273*INDEX('Capacity &amp; Cost Dashboard'!$C$31:$C$38,MATCH(INDEX(Products!$C$2:$C$31,MATCH(C273,Products!$A$2:$A$31,0)),'Capacity &amp; Cost Dashboard'!$B$31:$B$38,0)),0)</f>
        <v>32.75</v>
      </c>
    </row>
    <row r="274" spans="1:12" ht="18" x14ac:dyDescent="0.2">
      <c r="A274" s="17">
        <v>864</v>
      </c>
      <c r="B274" s="17" t="s">
        <v>844</v>
      </c>
      <c r="C274" s="17" t="s">
        <v>102</v>
      </c>
      <c r="D274" s="17">
        <v>19</v>
      </c>
      <c r="E274" s="17" t="s">
        <v>352</v>
      </c>
      <c r="F274" s="17" t="s">
        <v>178</v>
      </c>
      <c r="G274" s="17" t="s">
        <v>178</v>
      </c>
      <c r="H274" s="17" t="s">
        <v>828</v>
      </c>
      <c r="I274" s="17">
        <v>4</v>
      </c>
      <c r="J274" s="18">
        <f t="shared" si="8"/>
        <v>0</v>
      </c>
      <c r="K274" s="18">
        <f t="shared" si="9"/>
        <v>5</v>
      </c>
      <c r="L274" s="20" t="e">
        <f>IF(H274="Shipped",'Capacity &amp; Cost Dashboard'!D27+'Capacity &amp; Cost Dashboard'!D28*D274*INDEX('Capacity &amp; Cost Dashboard'!$C$31:$C$38,MATCH(INDEX(Products!$C$2:$C$31,MATCH(C274,Products!$A$2:$A$31,0)),'Capacity &amp; Cost Dashboard'!$B$31:$B$38,0)),0)</f>
        <v>#N/A</v>
      </c>
    </row>
    <row r="275" spans="1:12" ht="18" x14ac:dyDescent="0.2">
      <c r="A275" s="17">
        <v>865</v>
      </c>
      <c r="B275" s="17" t="s">
        <v>831</v>
      </c>
      <c r="C275" s="17" t="s">
        <v>156</v>
      </c>
      <c r="D275" s="17">
        <v>4</v>
      </c>
      <c r="E275" s="17" t="s">
        <v>177</v>
      </c>
      <c r="F275" s="17" t="s">
        <v>379</v>
      </c>
      <c r="G275" s="17" t="s">
        <v>352</v>
      </c>
      <c r="H275" s="17" t="s">
        <v>828</v>
      </c>
      <c r="I275" s="17">
        <v>4</v>
      </c>
      <c r="J275" s="18">
        <f t="shared" si="8"/>
        <v>0</v>
      </c>
      <c r="K275" s="18">
        <f t="shared" si="9"/>
        <v>5</v>
      </c>
      <c r="L275" s="20">
        <f>IF(H275="Shipped",'Capacity &amp; Cost Dashboard'!D27+'Capacity &amp; Cost Dashboard'!D28*D275*INDEX('Capacity &amp; Cost Dashboard'!$C$31:$C$38,MATCH(INDEX(Products!$C$2:$C$31,MATCH(C275,Products!$A$2:$A$31,0)),'Capacity &amp; Cost Dashboard'!$B$31:$B$38,0)),0)</f>
        <v>13.4</v>
      </c>
    </row>
    <row r="276" spans="1:12" ht="18" x14ac:dyDescent="0.2">
      <c r="A276" s="17">
        <v>866</v>
      </c>
      <c r="B276" s="17" t="s">
        <v>848</v>
      </c>
      <c r="C276" s="17" t="s">
        <v>156</v>
      </c>
      <c r="D276" s="17">
        <v>3</v>
      </c>
      <c r="E276" s="17" t="s">
        <v>376</v>
      </c>
      <c r="F276" s="17" t="s">
        <v>410</v>
      </c>
      <c r="G276" s="17" t="s">
        <v>389</v>
      </c>
      <c r="H276" s="17" t="s">
        <v>828</v>
      </c>
      <c r="I276" s="17">
        <v>5</v>
      </c>
      <c r="J276" s="18">
        <f t="shared" si="8"/>
        <v>0</v>
      </c>
      <c r="K276" s="18">
        <f t="shared" si="9"/>
        <v>5</v>
      </c>
      <c r="L276" s="20">
        <f>IF(H276="Shipped",'Capacity &amp; Cost Dashboard'!D27+'Capacity &amp; Cost Dashboard'!D28*D276*INDEX('Capacity &amp; Cost Dashboard'!$C$31:$C$38,MATCH(INDEX(Products!$C$2:$C$31,MATCH(C276,Products!$A$2:$A$31,0)),'Capacity &amp; Cost Dashboard'!$B$31:$B$38,0)),0)</f>
        <v>12.05</v>
      </c>
    </row>
    <row r="277" spans="1:12" ht="18" x14ac:dyDescent="0.2">
      <c r="A277" s="17">
        <v>867</v>
      </c>
      <c r="B277" s="17" t="s">
        <v>844</v>
      </c>
      <c r="C277" s="17" t="s">
        <v>136</v>
      </c>
      <c r="D277" s="17">
        <v>39</v>
      </c>
      <c r="E277" s="17" t="s">
        <v>177</v>
      </c>
      <c r="F277" s="17" t="s">
        <v>376</v>
      </c>
      <c r="G277" s="17" t="s">
        <v>376</v>
      </c>
      <c r="H277" s="17" t="s">
        <v>828</v>
      </c>
      <c r="I277" s="17">
        <v>5</v>
      </c>
      <c r="J277" s="18">
        <f t="shared" si="8"/>
        <v>0</v>
      </c>
      <c r="K277" s="18">
        <f t="shared" si="9"/>
        <v>5</v>
      </c>
      <c r="L277" s="20">
        <f>IF(H277="Shipped",'Capacity &amp; Cost Dashboard'!D27+'Capacity &amp; Cost Dashboard'!D28*D277*INDEX('Capacity &amp; Cost Dashboard'!$C$31:$C$38,MATCH(INDEX(Products!$C$2:$C$31,MATCH(C277,Products!$A$2:$A$31,0)),'Capacity &amp; Cost Dashboard'!$B$31:$B$38,0)),0)</f>
        <v>13.265000000000001</v>
      </c>
    </row>
    <row r="278" spans="1:12" ht="18" x14ac:dyDescent="0.2">
      <c r="A278" s="17">
        <v>868</v>
      </c>
      <c r="B278" s="17" t="s">
        <v>851</v>
      </c>
      <c r="C278" s="17" t="s">
        <v>120</v>
      </c>
      <c r="D278" s="17">
        <v>8</v>
      </c>
      <c r="E278" s="17" t="s">
        <v>376</v>
      </c>
      <c r="F278" s="17" t="s">
        <v>410</v>
      </c>
      <c r="G278" s="17" t="s">
        <v>410</v>
      </c>
      <c r="H278" s="17" t="s">
        <v>828</v>
      </c>
      <c r="I278" s="17">
        <v>5</v>
      </c>
      <c r="J278" s="18">
        <f t="shared" si="8"/>
        <v>0</v>
      </c>
      <c r="K278" s="18">
        <f t="shared" si="9"/>
        <v>5</v>
      </c>
      <c r="L278" s="20">
        <f>IF(H278="Shipped",'Capacity &amp; Cost Dashboard'!D27+'Capacity &amp; Cost Dashboard'!D28*D278*INDEX('Capacity &amp; Cost Dashboard'!$C$31:$C$38,MATCH(INDEX(Products!$C$2:$C$31,MATCH(C278,Products!$A$2:$A$31,0)),'Capacity &amp; Cost Dashboard'!$B$31:$B$38,0)),0)</f>
        <v>11.6</v>
      </c>
    </row>
    <row r="279" spans="1:12" ht="18" x14ac:dyDescent="0.2">
      <c r="A279" s="17">
        <v>869</v>
      </c>
      <c r="B279" s="17" t="s">
        <v>848</v>
      </c>
      <c r="C279" s="17" t="s">
        <v>130</v>
      </c>
      <c r="D279" s="17">
        <v>5</v>
      </c>
      <c r="E279" s="17" t="s">
        <v>376</v>
      </c>
      <c r="F279" s="17" t="s">
        <v>410</v>
      </c>
      <c r="G279" s="17" t="s">
        <v>389</v>
      </c>
      <c r="H279" s="17" t="s">
        <v>828</v>
      </c>
      <c r="I279" s="17">
        <v>5</v>
      </c>
      <c r="J279" s="18">
        <f t="shared" si="8"/>
        <v>0</v>
      </c>
      <c r="K279" s="18">
        <f t="shared" si="9"/>
        <v>5</v>
      </c>
      <c r="L279" s="20">
        <f>IF(H279="Shipped",'Capacity &amp; Cost Dashboard'!D27+'Capacity &amp; Cost Dashboard'!D28*D279*INDEX('Capacity &amp; Cost Dashboard'!$C$31:$C$38,MATCH(INDEX(Products!$C$2:$C$31,MATCH(C279,Products!$A$2:$A$31,0)),'Capacity &amp; Cost Dashboard'!$B$31:$B$38,0)),0)</f>
        <v>12.5</v>
      </c>
    </row>
    <row r="280" spans="1:12" ht="18" x14ac:dyDescent="0.2">
      <c r="A280" s="17">
        <v>870</v>
      </c>
      <c r="B280" s="17" t="s">
        <v>857</v>
      </c>
      <c r="C280" s="17" t="s">
        <v>134</v>
      </c>
      <c r="D280" s="17">
        <v>11</v>
      </c>
      <c r="E280" s="17" t="s">
        <v>352</v>
      </c>
      <c r="F280" s="17" t="s">
        <v>178</v>
      </c>
      <c r="G280" s="17" t="s">
        <v>178</v>
      </c>
      <c r="H280" s="17" t="s">
        <v>828</v>
      </c>
      <c r="I280" s="17">
        <v>4</v>
      </c>
      <c r="J280" s="18">
        <f t="shared" si="8"/>
        <v>0</v>
      </c>
      <c r="K280" s="18">
        <f t="shared" si="9"/>
        <v>5</v>
      </c>
      <c r="L280" s="20">
        <f>IF(H280="Shipped",'Capacity &amp; Cost Dashboard'!D27+'Capacity &amp; Cost Dashboard'!D28*D280*INDEX('Capacity &amp; Cost Dashboard'!$C$31:$C$38,MATCH(INDEX(Products!$C$2:$C$31,MATCH(C280,Products!$A$2:$A$31,0)),'Capacity &amp; Cost Dashboard'!$B$31:$B$38,0)),0)</f>
        <v>17.899999999999999</v>
      </c>
    </row>
    <row r="281" spans="1:12" ht="18" x14ac:dyDescent="0.2">
      <c r="A281" s="17">
        <v>871</v>
      </c>
      <c r="B281" s="17" t="s">
        <v>853</v>
      </c>
      <c r="C281" s="17" t="s">
        <v>147</v>
      </c>
      <c r="D281" s="17">
        <v>28</v>
      </c>
      <c r="E281" s="17" t="s">
        <v>177</v>
      </c>
      <c r="F281" s="17" t="s">
        <v>382</v>
      </c>
      <c r="G281" s="17" t="s">
        <v>376</v>
      </c>
      <c r="H281" s="17" t="s">
        <v>828</v>
      </c>
      <c r="I281" s="17">
        <v>4</v>
      </c>
      <c r="J281" s="18">
        <f t="shared" si="8"/>
        <v>0</v>
      </c>
      <c r="K281" s="18">
        <f t="shared" si="9"/>
        <v>5</v>
      </c>
      <c r="L281" s="20">
        <f>IF(H281="Shipped",'Capacity &amp; Cost Dashboard'!D27+'Capacity &amp; Cost Dashboard'!D28*D281*INDEX('Capacity &amp; Cost Dashboard'!$C$31:$C$38,MATCH(INDEX(Products!$C$2:$C$31,MATCH(C281,Products!$A$2:$A$31,0)),'Capacity &amp; Cost Dashboard'!$B$31:$B$38,0)),0)</f>
        <v>11.78</v>
      </c>
    </row>
    <row r="282" spans="1:12" ht="18" x14ac:dyDescent="0.2">
      <c r="A282" s="17">
        <v>872</v>
      </c>
      <c r="B282" s="17" t="s">
        <v>834</v>
      </c>
      <c r="C282" s="17" t="s">
        <v>130</v>
      </c>
      <c r="D282" s="17">
        <v>4</v>
      </c>
      <c r="E282" s="17" t="s">
        <v>379</v>
      </c>
      <c r="F282" s="17" t="s">
        <v>389</v>
      </c>
      <c r="G282" s="17" t="s">
        <v>178</v>
      </c>
      <c r="H282" s="17" t="s">
        <v>828</v>
      </c>
      <c r="I282" s="17">
        <v>5</v>
      </c>
      <c r="J282" s="18">
        <f t="shared" si="8"/>
        <v>0</v>
      </c>
      <c r="K282" s="18">
        <f t="shared" si="9"/>
        <v>5</v>
      </c>
      <c r="L282" s="20">
        <f>IF(H282="Shipped",'Capacity &amp; Cost Dashboard'!D27+'Capacity &amp; Cost Dashboard'!D28*D282*INDEX('Capacity &amp; Cost Dashboard'!$C$31:$C$38,MATCH(INDEX(Products!$C$2:$C$31,MATCH(C282,Products!$A$2:$A$31,0)),'Capacity &amp; Cost Dashboard'!$B$31:$B$38,0)),0)</f>
        <v>11.6</v>
      </c>
    </row>
    <row r="283" spans="1:12" ht="18" x14ac:dyDescent="0.2">
      <c r="A283" s="17">
        <v>873</v>
      </c>
      <c r="B283" s="17" t="s">
        <v>856</v>
      </c>
      <c r="C283" s="17" t="s">
        <v>120</v>
      </c>
      <c r="D283" s="17">
        <v>13</v>
      </c>
      <c r="E283" s="17" t="s">
        <v>379</v>
      </c>
      <c r="F283" s="17" t="s">
        <v>389</v>
      </c>
      <c r="G283" s="17" t="s">
        <v>178</v>
      </c>
      <c r="H283" s="17" t="s">
        <v>828</v>
      </c>
      <c r="I283" s="17">
        <v>5</v>
      </c>
      <c r="J283" s="18">
        <f t="shared" si="8"/>
        <v>0</v>
      </c>
      <c r="K283" s="18">
        <f t="shared" si="9"/>
        <v>5</v>
      </c>
      <c r="L283" s="20">
        <f>IF(H283="Shipped",'Capacity &amp; Cost Dashboard'!D27+'Capacity &amp; Cost Dashboard'!D28*D283*INDEX('Capacity &amp; Cost Dashboard'!$C$31:$C$38,MATCH(INDEX(Products!$C$2:$C$31,MATCH(C283,Products!$A$2:$A$31,0)),'Capacity &amp; Cost Dashboard'!$B$31:$B$38,0)),0)</f>
        <v>13.850000000000001</v>
      </c>
    </row>
    <row r="284" spans="1:12" ht="18" x14ac:dyDescent="0.2">
      <c r="A284" s="17">
        <v>874</v>
      </c>
      <c r="B284" s="17" t="s">
        <v>854</v>
      </c>
      <c r="C284" s="17" t="s">
        <v>104</v>
      </c>
      <c r="D284" s="17">
        <v>13</v>
      </c>
      <c r="E284" s="17" t="s">
        <v>407</v>
      </c>
      <c r="F284" s="17" t="s">
        <v>424</v>
      </c>
      <c r="G284" s="17" t="s">
        <v>424</v>
      </c>
      <c r="H284" s="17" t="s">
        <v>828</v>
      </c>
      <c r="I284" s="17">
        <v>5</v>
      </c>
      <c r="J284" s="18">
        <f t="shared" si="8"/>
        <v>0</v>
      </c>
      <c r="K284" s="18">
        <f t="shared" si="9"/>
        <v>6</v>
      </c>
      <c r="L284" s="20">
        <f>IF(H284="Shipped",'Capacity &amp; Cost Dashboard'!D27+'Capacity &amp; Cost Dashboard'!D28*D284*INDEX('Capacity &amp; Cost Dashboard'!$C$31:$C$38,MATCH(INDEX(Products!$C$2:$C$31,MATCH(C284,Products!$A$2:$A$31,0)),'Capacity &amp; Cost Dashboard'!$B$31:$B$38,0)),0)</f>
        <v>37.25</v>
      </c>
    </row>
    <row r="285" spans="1:12" ht="18" x14ac:dyDescent="0.2">
      <c r="A285" s="17">
        <v>875</v>
      </c>
      <c r="B285" s="17" t="s">
        <v>845</v>
      </c>
      <c r="C285" s="17" t="s">
        <v>152</v>
      </c>
      <c r="D285" s="17">
        <v>3</v>
      </c>
      <c r="E285" s="17" t="s">
        <v>407</v>
      </c>
      <c r="F285" s="17" t="s">
        <v>424</v>
      </c>
      <c r="G285" s="17" t="s">
        <v>424</v>
      </c>
      <c r="H285" s="17" t="s">
        <v>828</v>
      </c>
      <c r="I285" s="17">
        <v>5</v>
      </c>
      <c r="J285" s="18">
        <f t="shared" si="8"/>
        <v>0</v>
      </c>
      <c r="K285" s="18">
        <f t="shared" si="9"/>
        <v>6</v>
      </c>
      <c r="L285" s="20">
        <f>IF(H285="Shipped",'Capacity &amp; Cost Dashboard'!D27+'Capacity &amp; Cost Dashboard'!D28*D285*INDEX('Capacity &amp; Cost Dashboard'!$C$31:$C$38,MATCH(INDEX(Products!$C$2:$C$31,MATCH(C285,Products!$A$2:$A$31,0)),'Capacity &amp; Cost Dashboard'!$B$31:$B$38,0)),0)</f>
        <v>10.025</v>
      </c>
    </row>
    <row r="286" spans="1:12" ht="18" x14ac:dyDescent="0.2">
      <c r="A286" s="17">
        <v>876</v>
      </c>
      <c r="B286" s="17" t="s">
        <v>847</v>
      </c>
      <c r="C286" s="17" t="s">
        <v>123</v>
      </c>
      <c r="D286" s="17">
        <v>11</v>
      </c>
      <c r="E286" s="17" t="s">
        <v>407</v>
      </c>
      <c r="F286" s="17" t="s">
        <v>424</v>
      </c>
      <c r="G286" s="17" t="s">
        <v>454</v>
      </c>
      <c r="H286" s="17" t="s">
        <v>828</v>
      </c>
      <c r="I286" s="17">
        <v>4</v>
      </c>
      <c r="J286" s="18">
        <f t="shared" si="8"/>
        <v>0</v>
      </c>
      <c r="K286" s="18">
        <f t="shared" si="9"/>
        <v>6</v>
      </c>
      <c r="L286" s="20">
        <f>IF(H286="Shipped",'Capacity &amp; Cost Dashboard'!D27+'Capacity &amp; Cost Dashboard'!D28*D286*INDEX('Capacity &amp; Cost Dashboard'!$C$31:$C$38,MATCH(INDEX(Products!$C$2:$C$31,MATCH(C286,Products!$A$2:$A$31,0)),'Capacity &amp; Cost Dashboard'!$B$31:$B$38,0)),0)</f>
        <v>12.95</v>
      </c>
    </row>
    <row r="287" spans="1:12" ht="18" x14ac:dyDescent="0.2">
      <c r="A287" s="17">
        <v>877</v>
      </c>
      <c r="B287" s="17" t="s">
        <v>829</v>
      </c>
      <c r="C287" s="17" t="s">
        <v>107</v>
      </c>
      <c r="D287" s="17">
        <v>5</v>
      </c>
      <c r="E287" s="17" t="s">
        <v>178</v>
      </c>
      <c r="F287" s="17" t="s">
        <v>427</v>
      </c>
      <c r="G287" s="17" t="s">
        <v>427</v>
      </c>
      <c r="H287" s="17" t="s">
        <v>828</v>
      </c>
      <c r="I287" s="17">
        <v>4</v>
      </c>
      <c r="J287" s="18">
        <f t="shared" si="8"/>
        <v>0</v>
      </c>
      <c r="K287" s="18">
        <f t="shared" si="9"/>
        <v>6</v>
      </c>
      <c r="L287" s="20">
        <f>IF(H287="Shipped",'Capacity &amp; Cost Dashboard'!D27+'Capacity &amp; Cost Dashboard'!D28*D287*INDEX('Capacity &amp; Cost Dashboard'!$C$31:$C$38,MATCH(INDEX(Products!$C$2:$C$31,MATCH(C287,Products!$A$2:$A$31,0)),'Capacity &amp; Cost Dashboard'!$B$31:$B$38,0)),0)</f>
        <v>19.25</v>
      </c>
    </row>
    <row r="288" spans="1:12" ht="18" x14ac:dyDescent="0.2">
      <c r="A288" s="17">
        <v>878</v>
      </c>
      <c r="B288" s="17" t="s">
        <v>856</v>
      </c>
      <c r="C288" s="17" t="s">
        <v>161</v>
      </c>
      <c r="D288" s="17">
        <v>3</v>
      </c>
      <c r="E288" s="17" t="s">
        <v>389</v>
      </c>
      <c r="F288" s="17" t="s">
        <v>407</v>
      </c>
      <c r="G288" s="17" t="s">
        <v>407</v>
      </c>
      <c r="H288" s="17" t="s">
        <v>828</v>
      </c>
      <c r="I288" s="17">
        <v>5</v>
      </c>
      <c r="J288" s="18">
        <f t="shared" si="8"/>
        <v>0</v>
      </c>
      <c r="K288" s="18">
        <f t="shared" si="9"/>
        <v>6</v>
      </c>
      <c r="L288" s="20">
        <f>IF(H288="Shipped",'Capacity &amp; Cost Dashboard'!D27+'Capacity &amp; Cost Dashboard'!D28*D288*INDEX('Capacity &amp; Cost Dashboard'!$C$31:$C$38,MATCH(INDEX(Products!$C$2:$C$31,MATCH(C288,Products!$A$2:$A$31,0)),'Capacity &amp; Cost Dashboard'!$B$31:$B$38,0)),0)</f>
        <v>12.05</v>
      </c>
    </row>
    <row r="289" spans="1:12" ht="18" x14ac:dyDescent="0.2">
      <c r="A289" s="17">
        <v>879</v>
      </c>
      <c r="B289" s="17" t="s">
        <v>831</v>
      </c>
      <c r="C289" s="17" t="s">
        <v>111</v>
      </c>
      <c r="D289" s="17">
        <v>23</v>
      </c>
      <c r="E289" s="17" t="s">
        <v>410</v>
      </c>
      <c r="F289" s="17" t="s">
        <v>179</v>
      </c>
      <c r="G289" s="17" t="s">
        <v>179</v>
      </c>
      <c r="H289" s="17" t="s">
        <v>828</v>
      </c>
      <c r="I289" s="17">
        <v>5</v>
      </c>
      <c r="J289" s="18">
        <f t="shared" si="8"/>
        <v>0</v>
      </c>
      <c r="K289" s="18">
        <f t="shared" si="9"/>
        <v>6</v>
      </c>
      <c r="L289" s="20">
        <f>IF(H289="Shipped",'Capacity &amp; Cost Dashboard'!D27+'Capacity &amp; Cost Dashboard'!D28*D289*INDEX('Capacity &amp; Cost Dashboard'!$C$31:$C$38,MATCH(INDEX(Products!$C$2:$C$31,MATCH(C289,Products!$A$2:$A$31,0)),'Capacity &amp; Cost Dashboard'!$B$31:$B$38,0)),0)</f>
        <v>59.75</v>
      </c>
    </row>
    <row r="290" spans="1:12" ht="18" x14ac:dyDescent="0.2">
      <c r="A290" s="17">
        <v>880</v>
      </c>
      <c r="B290" s="17" t="s">
        <v>840</v>
      </c>
      <c r="C290" s="17" t="s">
        <v>125</v>
      </c>
      <c r="D290" s="17">
        <v>13</v>
      </c>
      <c r="E290" s="17" t="s">
        <v>410</v>
      </c>
      <c r="F290" s="17" t="s">
        <v>179</v>
      </c>
      <c r="G290" s="17" t="s">
        <v>413</v>
      </c>
      <c r="H290" s="17" t="s">
        <v>828</v>
      </c>
      <c r="I290" s="17">
        <v>2</v>
      </c>
      <c r="J290" s="18">
        <f t="shared" si="8"/>
        <v>1</v>
      </c>
      <c r="K290" s="18">
        <f t="shared" si="9"/>
        <v>6</v>
      </c>
      <c r="L290" s="20">
        <f>IF(H290="Shipped",'Capacity &amp; Cost Dashboard'!D27+'Capacity &amp; Cost Dashboard'!D28*D290*INDEX('Capacity &amp; Cost Dashboard'!$C$31:$C$38,MATCH(INDEX(Products!$C$2:$C$31,MATCH(C290,Products!$A$2:$A$31,0)),'Capacity &amp; Cost Dashboard'!$B$31:$B$38,0)),0)</f>
        <v>13.850000000000001</v>
      </c>
    </row>
    <row r="291" spans="1:12" ht="18" x14ac:dyDescent="0.2">
      <c r="A291" s="17">
        <v>881</v>
      </c>
      <c r="B291" s="17" t="s">
        <v>832</v>
      </c>
      <c r="C291" s="17" t="s">
        <v>113</v>
      </c>
      <c r="D291" s="17">
        <v>6</v>
      </c>
      <c r="E291" s="17" t="s">
        <v>389</v>
      </c>
      <c r="F291" s="17" t="s">
        <v>407</v>
      </c>
      <c r="G291" s="17" t="s">
        <v>419</v>
      </c>
      <c r="H291" s="17" t="s">
        <v>828</v>
      </c>
      <c r="I291" s="17">
        <v>5</v>
      </c>
      <c r="J291" s="18">
        <f t="shared" si="8"/>
        <v>0</v>
      </c>
      <c r="K291" s="18">
        <f t="shared" si="9"/>
        <v>6</v>
      </c>
      <c r="L291" s="20">
        <f>IF(H291="Shipped",'Capacity &amp; Cost Dashboard'!D27+'Capacity &amp; Cost Dashboard'!D28*D291*INDEX('Capacity &amp; Cost Dashboard'!$C$31:$C$38,MATCH(INDEX(Products!$C$2:$C$31,MATCH(C291,Products!$A$2:$A$31,0)),'Capacity &amp; Cost Dashboard'!$B$31:$B$38,0)),0)</f>
        <v>13.4</v>
      </c>
    </row>
    <row r="292" spans="1:12" ht="18" x14ac:dyDescent="0.2">
      <c r="A292" s="17">
        <v>882</v>
      </c>
      <c r="B292" s="17" t="s">
        <v>833</v>
      </c>
      <c r="C292" s="17" t="s">
        <v>159</v>
      </c>
      <c r="D292" s="17">
        <v>1</v>
      </c>
      <c r="E292" s="17" t="s">
        <v>419</v>
      </c>
      <c r="F292" s="17" t="s">
        <v>179</v>
      </c>
      <c r="G292" s="17" t="s">
        <v>179</v>
      </c>
      <c r="H292" s="17" t="s">
        <v>828</v>
      </c>
      <c r="I292" s="17">
        <v>5</v>
      </c>
      <c r="J292" s="18">
        <f t="shared" si="8"/>
        <v>0</v>
      </c>
      <c r="K292" s="18">
        <f t="shared" si="9"/>
        <v>6</v>
      </c>
      <c r="L292" s="20">
        <f>IF(H292="Shipped",'Capacity &amp; Cost Dashboard'!D27+'Capacity &amp; Cost Dashboard'!D28*D292*INDEX('Capacity &amp; Cost Dashboard'!$C$31:$C$38,MATCH(INDEX(Products!$C$2:$C$31,MATCH(C292,Products!$A$2:$A$31,0)),'Capacity &amp; Cost Dashboard'!$B$31:$B$38,0)),0)</f>
        <v>9.35</v>
      </c>
    </row>
    <row r="293" spans="1:12" ht="18" x14ac:dyDescent="0.2">
      <c r="A293" s="17">
        <v>883</v>
      </c>
      <c r="B293" s="17" t="s">
        <v>848</v>
      </c>
      <c r="C293" s="17" t="s">
        <v>100</v>
      </c>
      <c r="D293" s="17">
        <v>12</v>
      </c>
      <c r="E293" s="17" t="s">
        <v>178</v>
      </c>
      <c r="F293" s="17" t="s">
        <v>427</v>
      </c>
      <c r="G293" s="17" t="s">
        <v>424</v>
      </c>
      <c r="H293" s="17" t="s">
        <v>828</v>
      </c>
      <c r="I293" s="17">
        <v>3</v>
      </c>
      <c r="J293" s="18">
        <f t="shared" si="8"/>
        <v>1</v>
      </c>
      <c r="K293" s="18">
        <f t="shared" si="9"/>
        <v>6</v>
      </c>
      <c r="L293" s="20" t="e">
        <f>IF(H293="Shipped",'Capacity &amp; Cost Dashboard'!D27+'Capacity &amp; Cost Dashboard'!D28*D293*INDEX('Capacity &amp; Cost Dashboard'!$C$31:$C$38,MATCH(INDEX(Products!$C$2:$C$31,MATCH(C293,Products!$A$2:$A$31,0)),'Capacity &amp; Cost Dashboard'!$B$31:$B$38,0)),0)</f>
        <v>#N/A</v>
      </c>
    </row>
    <row r="294" spans="1:12" ht="18" x14ac:dyDescent="0.2">
      <c r="A294" s="17">
        <v>884</v>
      </c>
      <c r="B294" s="17" t="s">
        <v>856</v>
      </c>
      <c r="C294" s="17" t="s">
        <v>132</v>
      </c>
      <c r="D294" s="17">
        <v>10</v>
      </c>
      <c r="E294" s="17" t="s">
        <v>407</v>
      </c>
      <c r="F294" s="17" t="s">
        <v>424</v>
      </c>
      <c r="G294" s="17" t="s">
        <v>454</v>
      </c>
      <c r="H294" s="17" t="s">
        <v>828</v>
      </c>
      <c r="I294" s="17">
        <v>5</v>
      </c>
      <c r="J294" s="18">
        <f t="shared" si="8"/>
        <v>0</v>
      </c>
      <c r="K294" s="18">
        <f t="shared" si="9"/>
        <v>6</v>
      </c>
      <c r="L294" s="20">
        <f>IF(H294="Shipped",'Capacity &amp; Cost Dashboard'!D27+'Capacity &amp; Cost Dashboard'!D28*D294*INDEX('Capacity &amp; Cost Dashboard'!$C$31:$C$38,MATCH(INDEX(Products!$C$2:$C$31,MATCH(C294,Products!$A$2:$A$31,0)),'Capacity &amp; Cost Dashboard'!$B$31:$B$38,0)),0)</f>
        <v>17</v>
      </c>
    </row>
    <row r="295" spans="1:12" ht="18" x14ac:dyDescent="0.2">
      <c r="A295" s="17">
        <v>885</v>
      </c>
      <c r="B295" s="17" t="s">
        <v>831</v>
      </c>
      <c r="C295" s="17" t="s">
        <v>109</v>
      </c>
      <c r="D295" s="17">
        <v>1</v>
      </c>
      <c r="E295" s="17" t="s">
        <v>389</v>
      </c>
      <c r="F295" s="17" t="s">
        <v>416</v>
      </c>
      <c r="G295" s="17" t="s">
        <v>416</v>
      </c>
      <c r="H295" s="17" t="s">
        <v>828</v>
      </c>
      <c r="I295" s="17">
        <v>4</v>
      </c>
      <c r="J295" s="18">
        <f t="shared" si="8"/>
        <v>0</v>
      </c>
      <c r="K295" s="18">
        <f t="shared" si="9"/>
        <v>6</v>
      </c>
      <c r="L295" s="20">
        <f>IF(H295="Shipped",'Capacity &amp; Cost Dashboard'!D27+'Capacity &amp; Cost Dashboard'!D28*D295*INDEX('Capacity &amp; Cost Dashboard'!$C$31:$C$38,MATCH(INDEX(Products!$C$2:$C$31,MATCH(C295,Products!$A$2:$A$31,0)),'Capacity &amp; Cost Dashboard'!$B$31:$B$38,0)),0)</f>
        <v>10.25</v>
      </c>
    </row>
    <row r="296" spans="1:12" ht="18" x14ac:dyDescent="0.2">
      <c r="A296" s="17">
        <v>886</v>
      </c>
      <c r="B296" s="17" t="s">
        <v>853</v>
      </c>
      <c r="C296" s="17" t="s">
        <v>111</v>
      </c>
      <c r="D296" s="17">
        <v>23</v>
      </c>
      <c r="E296" s="17" t="s">
        <v>410</v>
      </c>
      <c r="F296" s="17" t="s">
        <v>179</v>
      </c>
      <c r="G296" s="17" t="s">
        <v>179</v>
      </c>
      <c r="H296" s="17" t="s">
        <v>828</v>
      </c>
      <c r="I296" s="17">
        <v>4</v>
      </c>
      <c r="J296" s="18">
        <f t="shared" si="8"/>
        <v>0</v>
      </c>
      <c r="K296" s="18">
        <f t="shared" si="9"/>
        <v>6</v>
      </c>
      <c r="L296" s="20">
        <f>IF(H296="Shipped",'Capacity &amp; Cost Dashboard'!D27+'Capacity &amp; Cost Dashboard'!D28*D296*INDEX('Capacity &amp; Cost Dashboard'!$C$31:$C$38,MATCH(INDEX(Products!$C$2:$C$31,MATCH(C296,Products!$A$2:$A$31,0)),'Capacity &amp; Cost Dashboard'!$B$31:$B$38,0)),0)</f>
        <v>59.75</v>
      </c>
    </row>
    <row r="297" spans="1:12" ht="18" x14ac:dyDescent="0.2">
      <c r="A297" s="17">
        <v>887</v>
      </c>
      <c r="B297" s="17" t="s">
        <v>854</v>
      </c>
      <c r="C297" s="17" t="s">
        <v>149</v>
      </c>
      <c r="D297" s="17">
        <v>9</v>
      </c>
      <c r="E297" s="17" t="s">
        <v>419</v>
      </c>
      <c r="F297" s="17" t="s">
        <v>454</v>
      </c>
      <c r="G297" s="17" t="s">
        <v>454</v>
      </c>
      <c r="H297" s="17" t="s">
        <v>828</v>
      </c>
      <c r="I297" s="17">
        <v>5</v>
      </c>
      <c r="J297" s="18">
        <f t="shared" si="8"/>
        <v>0</v>
      </c>
      <c r="K297" s="18">
        <f t="shared" si="9"/>
        <v>6</v>
      </c>
      <c r="L297" s="20">
        <f>IF(H297="Shipped",'Capacity &amp; Cost Dashboard'!D27+'Capacity &amp; Cost Dashboard'!D28*D297*INDEX('Capacity &amp; Cost Dashboard'!$C$31:$C$38,MATCH(INDEX(Products!$C$2:$C$31,MATCH(C297,Products!$A$2:$A$31,0)),'Capacity &amp; Cost Dashboard'!$B$31:$B$38,0)),0)</f>
        <v>14.074999999999999</v>
      </c>
    </row>
    <row r="298" spans="1:12" ht="18" x14ac:dyDescent="0.2">
      <c r="A298" s="17">
        <v>888</v>
      </c>
      <c r="B298" s="17" t="s">
        <v>849</v>
      </c>
      <c r="C298" s="17" t="s">
        <v>102</v>
      </c>
      <c r="D298" s="17">
        <v>13</v>
      </c>
      <c r="E298" s="17" t="s">
        <v>178</v>
      </c>
      <c r="F298" s="17" t="s">
        <v>407</v>
      </c>
      <c r="G298" s="17" t="s">
        <v>407</v>
      </c>
      <c r="H298" s="17" t="s">
        <v>828</v>
      </c>
      <c r="I298" s="17">
        <v>5</v>
      </c>
      <c r="J298" s="18">
        <f t="shared" si="8"/>
        <v>0</v>
      </c>
      <c r="K298" s="18">
        <f t="shared" si="9"/>
        <v>6</v>
      </c>
      <c r="L298" s="20" t="e">
        <f>IF(H298="Shipped",'Capacity &amp; Cost Dashboard'!D27+'Capacity &amp; Cost Dashboard'!D28*D298*INDEX('Capacity &amp; Cost Dashboard'!$C$31:$C$38,MATCH(INDEX(Products!$C$2:$C$31,MATCH(C298,Products!$A$2:$A$31,0)),'Capacity &amp; Cost Dashboard'!$B$31:$B$38,0)),0)</f>
        <v>#N/A</v>
      </c>
    </row>
    <row r="299" spans="1:12" ht="18" x14ac:dyDescent="0.2">
      <c r="A299" s="17">
        <v>889</v>
      </c>
      <c r="B299" s="17" t="s">
        <v>857</v>
      </c>
      <c r="C299" s="17" t="s">
        <v>125</v>
      </c>
      <c r="D299" s="17">
        <v>9</v>
      </c>
      <c r="E299" s="17" t="s">
        <v>178</v>
      </c>
      <c r="F299" s="17" t="s">
        <v>427</v>
      </c>
      <c r="G299" s="17" t="s">
        <v>427</v>
      </c>
      <c r="H299" s="17" t="s">
        <v>828</v>
      </c>
      <c r="I299" s="17">
        <v>5</v>
      </c>
      <c r="J299" s="18">
        <f t="shared" si="8"/>
        <v>0</v>
      </c>
      <c r="K299" s="18">
        <f t="shared" si="9"/>
        <v>6</v>
      </c>
      <c r="L299" s="20">
        <f>IF(H299="Shipped",'Capacity &amp; Cost Dashboard'!D27+'Capacity &amp; Cost Dashboard'!D28*D299*INDEX('Capacity &amp; Cost Dashboard'!$C$31:$C$38,MATCH(INDEX(Products!$C$2:$C$31,MATCH(C299,Products!$A$2:$A$31,0)),'Capacity &amp; Cost Dashboard'!$B$31:$B$38,0)),0)</f>
        <v>12.05</v>
      </c>
    </row>
    <row r="300" spans="1:12" ht="18" x14ac:dyDescent="0.2">
      <c r="A300" s="17">
        <v>890</v>
      </c>
      <c r="B300" s="17" t="s">
        <v>833</v>
      </c>
      <c r="C300" s="17" t="s">
        <v>102</v>
      </c>
      <c r="D300" s="17">
        <v>17</v>
      </c>
      <c r="E300" s="17" t="s">
        <v>407</v>
      </c>
      <c r="F300" s="17" t="s">
        <v>454</v>
      </c>
      <c r="G300" s="17" t="s">
        <v>413</v>
      </c>
      <c r="H300" s="17" t="s">
        <v>828</v>
      </c>
      <c r="I300" s="17">
        <v>3</v>
      </c>
      <c r="J300" s="18">
        <f t="shared" si="8"/>
        <v>1</v>
      </c>
      <c r="K300" s="18">
        <f t="shared" si="9"/>
        <v>6</v>
      </c>
      <c r="L300" s="20" t="e">
        <f>IF(H300="Shipped",'Capacity &amp; Cost Dashboard'!D27+'Capacity &amp; Cost Dashboard'!D28*D300*INDEX('Capacity &amp; Cost Dashboard'!$C$31:$C$38,MATCH(INDEX(Products!$C$2:$C$31,MATCH(C300,Products!$A$2:$A$31,0)),'Capacity &amp; Cost Dashboard'!$B$31:$B$38,0)),0)</f>
        <v>#N/A</v>
      </c>
    </row>
    <row r="301" spans="1:12" ht="18" x14ac:dyDescent="0.2">
      <c r="A301" s="17">
        <v>891</v>
      </c>
      <c r="B301" s="17" t="s">
        <v>830</v>
      </c>
      <c r="C301" s="17" t="s">
        <v>98</v>
      </c>
      <c r="D301" s="17">
        <v>31</v>
      </c>
      <c r="E301" s="17" t="s">
        <v>407</v>
      </c>
      <c r="F301" s="17" t="s">
        <v>424</v>
      </c>
      <c r="G301" s="17" t="s">
        <v>424</v>
      </c>
      <c r="H301" s="17" t="s">
        <v>828</v>
      </c>
      <c r="I301" s="17">
        <v>5</v>
      </c>
      <c r="J301" s="18">
        <f t="shared" si="8"/>
        <v>0</v>
      </c>
      <c r="K301" s="18">
        <f t="shared" si="9"/>
        <v>6</v>
      </c>
      <c r="L301" s="20" t="e">
        <f>IF(H301="Shipped",'Capacity &amp; Cost Dashboard'!D27+'Capacity &amp; Cost Dashboard'!D28*D301*INDEX('Capacity &amp; Cost Dashboard'!$C$31:$C$38,MATCH(INDEX(Products!$C$2:$C$31,MATCH(C301,Products!$A$2:$A$31,0)),'Capacity &amp; Cost Dashboard'!$B$31:$B$38,0)),0)</f>
        <v>#N/A</v>
      </c>
    </row>
    <row r="302" spans="1:12" ht="18" x14ac:dyDescent="0.2">
      <c r="A302" s="17">
        <v>892</v>
      </c>
      <c r="B302" s="17" t="s">
        <v>844</v>
      </c>
      <c r="C302" s="17" t="s">
        <v>159</v>
      </c>
      <c r="D302" s="17">
        <v>2</v>
      </c>
      <c r="E302" s="17" t="s">
        <v>407</v>
      </c>
      <c r="F302" s="17" t="s">
        <v>454</v>
      </c>
      <c r="G302" s="17" t="s">
        <v>179</v>
      </c>
      <c r="H302" s="17" t="s">
        <v>828</v>
      </c>
      <c r="I302" s="17">
        <v>5</v>
      </c>
      <c r="J302" s="18">
        <f t="shared" si="8"/>
        <v>0</v>
      </c>
      <c r="K302" s="18">
        <f t="shared" si="9"/>
        <v>6</v>
      </c>
      <c r="L302" s="20">
        <f>IF(H302="Shipped",'Capacity &amp; Cost Dashboard'!D27+'Capacity &amp; Cost Dashboard'!D28*D302*INDEX('Capacity &amp; Cost Dashboard'!$C$31:$C$38,MATCH(INDEX(Products!$C$2:$C$31,MATCH(C302,Products!$A$2:$A$31,0)),'Capacity &amp; Cost Dashboard'!$B$31:$B$38,0)),0)</f>
        <v>10.7</v>
      </c>
    </row>
    <row r="303" spans="1:12" ht="18" x14ac:dyDescent="0.2">
      <c r="A303" s="17">
        <v>893</v>
      </c>
      <c r="B303" s="17" t="s">
        <v>855</v>
      </c>
      <c r="C303" s="17" t="s">
        <v>161</v>
      </c>
      <c r="D303" s="17">
        <v>1</v>
      </c>
      <c r="E303" s="17" t="s">
        <v>419</v>
      </c>
      <c r="F303" s="17" t="s">
        <v>454</v>
      </c>
      <c r="G303" s="17" t="s">
        <v>454</v>
      </c>
      <c r="H303" s="17" t="s">
        <v>828</v>
      </c>
      <c r="I303" s="17">
        <v>4</v>
      </c>
      <c r="J303" s="18">
        <f t="shared" si="8"/>
        <v>0</v>
      </c>
      <c r="K303" s="18">
        <f t="shared" si="9"/>
        <v>6</v>
      </c>
      <c r="L303" s="20">
        <f>IF(H303="Shipped",'Capacity &amp; Cost Dashboard'!D27+'Capacity &amp; Cost Dashboard'!D28*D303*INDEX('Capacity &amp; Cost Dashboard'!$C$31:$C$38,MATCH(INDEX(Products!$C$2:$C$31,MATCH(C303,Products!$A$2:$A$31,0)),'Capacity &amp; Cost Dashboard'!$B$31:$B$38,0)),0)</f>
        <v>9.35</v>
      </c>
    </row>
    <row r="304" spans="1:12" ht="18" x14ac:dyDescent="0.2">
      <c r="A304" s="17">
        <v>894</v>
      </c>
      <c r="B304" s="17" t="s">
        <v>839</v>
      </c>
      <c r="C304" s="17" t="s">
        <v>147</v>
      </c>
      <c r="D304" s="17">
        <v>34</v>
      </c>
      <c r="E304" s="17" t="s">
        <v>407</v>
      </c>
      <c r="F304" s="17" t="s">
        <v>424</v>
      </c>
      <c r="G304" s="17" t="s">
        <v>424</v>
      </c>
      <c r="H304" s="17" t="s">
        <v>828</v>
      </c>
      <c r="I304" s="17">
        <v>5</v>
      </c>
      <c r="J304" s="18">
        <f t="shared" si="8"/>
        <v>0</v>
      </c>
      <c r="K304" s="18">
        <f t="shared" si="9"/>
        <v>6</v>
      </c>
      <c r="L304" s="20">
        <f>IF(H304="Shipped",'Capacity &amp; Cost Dashboard'!D27+'Capacity &amp; Cost Dashboard'!D28*D304*INDEX('Capacity &amp; Cost Dashboard'!$C$31:$C$38,MATCH(INDEX(Products!$C$2:$C$31,MATCH(C304,Products!$A$2:$A$31,0)),'Capacity &amp; Cost Dashboard'!$B$31:$B$38,0)),0)</f>
        <v>12.59</v>
      </c>
    </row>
    <row r="305" spans="1:12" ht="18" x14ac:dyDescent="0.2">
      <c r="A305" s="17">
        <v>895</v>
      </c>
      <c r="B305" s="17" t="s">
        <v>831</v>
      </c>
      <c r="C305" s="17" t="s">
        <v>98</v>
      </c>
      <c r="D305" s="17">
        <v>32</v>
      </c>
      <c r="E305" s="17" t="s">
        <v>389</v>
      </c>
      <c r="F305" s="17" t="s">
        <v>407</v>
      </c>
      <c r="G305" s="17" t="s">
        <v>407</v>
      </c>
      <c r="H305" s="17" t="s">
        <v>828</v>
      </c>
      <c r="I305" s="17">
        <v>5</v>
      </c>
      <c r="J305" s="18">
        <f t="shared" si="8"/>
        <v>0</v>
      </c>
      <c r="K305" s="18">
        <f t="shared" si="9"/>
        <v>6</v>
      </c>
      <c r="L305" s="20" t="e">
        <f>IF(H305="Shipped",'Capacity &amp; Cost Dashboard'!D27+'Capacity &amp; Cost Dashboard'!D28*D305*INDEX('Capacity &amp; Cost Dashboard'!$C$31:$C$38,MATCH(INDEX(Products!$C$2:$C$31,MATCH(C305,Products!$A$2:$A$31,0)),'Capacity &amp; Cost Dashboard'!$B$31:$B$38,0)),0)</f>
        <v>#N/A</v>
      </c>
    </row>
    <row r="306" spans="1:12" ht="18" x14ac:dyDescent="0.2">
      <c r="A306" s="17">
        <v>896</v>
      </c>
      <c r="B306" s="17" t="s">
        <v>848</v>
      </c>
      <c r="C306" s="17" t="s">
        <v>95</v>
      </c>
      <c r="D306" s="17">
        <v>7</v>
      </c>
      <c r="E306" s="17" t="s">
        <v>419</v>
      </c>
      <c r="F306" s="17" t="s">
        <v>179</v>
      </c>
      <c r="G306" s="17" t="s">
        <v>416</v>
      </c>
      <c r="H306" s="17" t="s">
        <v>828</v>
      </c>
      <c r="I306" s="17">
        <v>5</v>
      </c>
      <c r="J306" s="18">
        <f t="shared" si="8"/>
        <v>0</v>
      </c>
      <c r="K306" s="18">
        <f t="shared" si="9"/>
        <v>6</v>
      </c>
      <c r="L306" s="20" t="e">
        <f>IF(H306="Shipped",'Capacity &amp; Cost Dashboard'!D27+'Capacity &amp; Cost Dashboard'!D28*D306*INDEX('Capacity &amp; Cost Dashboard'!$C$31:$C$38,MATCH(INDEX(Products!$C$2:$C$31,MATCH(C306,Products!$A$2:$A$31,0)),'Capacity &amp; Cost Dashboard'!$B$31:$B$38,0)),0)</f>
        <v>#N/A</v>
      </c>
    </row>
    <row r="307" spans="1:12" ht="18" x14ac:dyDescent="0.2">
      <c r="A307" s="17">
        <v>897</v>
      </c>
      <c r="B307" s="17" t="s">
        <v>840</v>
      </c>
      <c r="C307" s="17" t="s">
        <v>100</v>
      </c>
      <c r="D307" s="17">
        <v>6</v>
      </c>
      <c r="E307" s="17" t="s">
        <v>178</v>
      </c>
      <c r="F307" s="17" t="s">
        <v>419</v>
      </c>
      <c r="G307" s="17" t="s">
        <v>410</v>
      </c>
      <c r="H307" s="17" t="s">
        <v>828</v>
      </c>
      <c r="I307" s="17">
        <v>4</v>
      </c>
      <c r="J307" s="18">
        <f t="shared" si="8"/>
        <v>0</v>
      </c>
      <c r="K307" s="18">
        <f t="shared" si="9"/>
        <v>6</v>
      </c>
      <c r="L307" s="20" t="e">
        <f>IF(H307="Shipped",'Capacity &amp; Cost Dashboard'!D27+'Capacity &amp; Cost Dashboard'!D28*D307*INDEX('Capacity &amp; Cost Dashboard'!$C$31:$C$38,MATCH(INDEX(Products!$C$2:$C$31,MATCH(C307,Products!$A$2:$A$31,0)),'Capacity &amp; Cost Dashboard'!$B$31:$B$38,0)),0)</f>
        <v>#N/A</v>
      </c>
    </row>
    <row r="308" spans="1:12" ht="18" x14ac:dyDescent="0.2">
      <c r="A308" s="17">
        <v>898</v>
      </c>
      <c r="B308" s="17" t="s">
        <v>850</v>
      </c>
      <c r="C308" s="17" t="s">
        <v>149</v>
      </c>
      <c r="D308" s="17">
        <v>5</v>
      </c>
      <c r="E308" s="17" t="s">
        <v>410</v>
      </c>
      <c r="F308" s="17" t="s">
        <v>179</v>
      </c>
      <c r="G308" s="17" t="s">
        <v>416</v>
      </c>
      <c r="H308" s="17" t="s">
        <v>828</v>
      </c>
      <c r="I308" s="17">
        <v>5</v>
      </c>
      <c r="J308" s="18">
        <f t="shared" si="8"/>
        <v>0</v>
      </c>
      <c r="K308" s="18">
        <f t="shared" si="9"/>
        <v>6</v>
      </c>
      <c r="L308" s="20">
        <f>IF(H308="Shipped",'Capacity &amp; Cost Dashboard'!D27+'Capacity &amp; Cost Dashboard'!D28*D308*INDEX('Capacity &amp; Cost Dashboard'!$C$31:$C$38,MATCH(INDEX(Products!$C$2:$C$31,MATCH(C308,Products!$A$2:$A$31,0)),'Capacity &amp; Cost Dashboard'!$B$31:$B$38,0)),0)</f>
        <v>11.375</v>
      </c>
    </row>
    <row r="309" spans="1:12" ht="18" x14ac:dyDescent="0.2">
      <c r="A309" s="17">
        <v>899</v>
      </c>
      <c r="B309" s="17" t="s">
        <v>841</v>
      </c>
      <c r="C309" s="17" t="s">
        <v>98</v>
      </c>
      <c r="D309" s="17">
        <v>4</v>
      </c>
      <c r="E309" s="17" t="s">
        <v>178</v>
      </c>
      <c r="F309" s="17" t="s">
        <v>427</v>
      </c>
      <c r="G309" s="17" t="s">
        <v>407</v>
      </c>
      <c r="H309" s="17" t="s">
        <v>828</v>
      </c>
      <c r="I309" s="17">
        <v>5</v>
      </c>
      <c r="J309" s="18">
        <f t="shared" si="8"/>
        <v>0</v>
      </c>
      <c r="K309" s="18">
        <f t="shared" si="9"/>
        <v>6</v>
      </c>
      <c r="L309" s="20" t="e">
        <f>IF(H309="Shipped",'Capacity &amp; Cost Dashboard'!D27+'Capacity &amp; Cost Dashboard'!D28*D309*INDEX('Capacity &amp; Cost Dashboard'!$C$31:$C$38,MATCH(INDEX(Products!$C$2:$C$31,MATCH(C309,Products!$A$2:$A$31,0)),'Capacity &amp; Cost Dashboard'!$B$31:$B$38,0)),0)</f>
        <v>#N/A</v>
      </c>
    </row>
    <row r="310" spans="1:12" ht="18" x14ac:dyDescent="0.2">
      <c r="A310" s="17">
        <v>900</v>
      </c>
      <c r="B310" s="17" t="s">
        <v>847</v>
      </c>
      <c r="C310" s="17" t="s">
        <v>100</v>
      </c>
      <c r="D310" s="17">
        <v>30</v>
      </c>
      <c r="E310" s="17" t="s">
        <v>407</v>
      </c>
      <c r="F310" s="17" t="s">
        <v>424</v>
      </c>
      <c r="G310" s="17" t="s">
        <v>424</v>
      </c>
      <c r="H310" s="17" t="s">
        <v>828</v>
      </c>
      <c r="I310" s="17">
        <v>5</v>
      </c>
      <c r="J310" s="18">
        <f t="shared" si="8"/>
        <v>0</v>
      </c>
      <c r="K310" s="18">
        <f t="shared" si="9"/>
        <v>6</v>
      </c>
      <c r="L310" s="20" t="e">
        <f>IF(H310="Shipped",'Capacity &amp; Cost Dashboard'!D27+'Capacity &amp; Cost Dashboard'!D28*D310*INDEX('Capacity &amp; Cost Dashboard'!$C$31:$C$38,MATCH(INDEX(Products!$C$2:$C$31,MATCH(C310,Products!$A$2:$A$31,0)),'Capacity &amp; Cost Dashboard'!$B$31:$B$38,0)),0)</f>
        <v>#N/A</v>
      </c>
    </row>
    <row r="311" spans="1:12" ht="18" x14ac:dyDescent="0.2">
      <c r="A311" s="17">
        <v>901</v>
      </c>
      <c r="B311" s="17" t="s">
        <v>846</v>
      </c>
      <c r="C311" s="17" t="s">
        <v>145</v>
      </c>
      <c r="D311" s="17">
        <v>20</v>
      </c>
      <c r="E311" s="17" t="s">
        <v>178</v>
      </c>
      <c r="F311" s="17" t="s">
        <v>407</v>
      </c>
      <c r="G311" s="17" t="s">
        <v>407</v>
      </c>
      <c r="H311" s="17" t="s">
        <v>828</v>
      </c>
      <c r="I311" s="17">
        <v>5</v>
      </c>
      <c r="J311" s="18">
        <f t="shared" si="8"/>
        <v>0</v>
      </c>
      <c r="K311" s="18">
        <f t="shared" si="9"/>
        <v>6</v>
      </c>
      <c r="L311" s="20">
        <f>IF(H311="Shipped",'Capacity &amp; Cost Dashboard'!D27+'Capacity &amp; Cost Dashboard'!D28*D311*INDEX('Capacity &amp; Cost Dashboard'!$C$31:$C$38,MATCH(INDEX(Products!$C$2:$C$31,MATCH(C311,Products!$A$2:$A$31,0)),'Capacity &amp; Cost Dashboard'!$B$31:$B$38,0)),0)</f>
        <v>10.7</v>
      </c>
    </row>
    <row r="312" spans="1:12" ht="18" x14ac:dyDescent="0.2">
      <c r="A312" s="17">
        <v>902</v>
      </c>
      <c r="B312" s="17" t="s">
        <v>830</v>
      </c>
      <c r="C312" s="17" t="s">
        <v>161</v>
      </c>
      <c r="D312" s="17">
        <v>3</v>
      </c>
      <c r="E312" s="17" t="s">
        <v>410</v>
      </c>
      <c r="F312" s="17" t="s">
        <v>179</v>
      </c>
      <c r="G312" s="17" t="s">
        <v>424</v>
      </c>
      <c r="H312" s="17" t="s">
        <v>828</v>
      </c>
      <c r="I312" s="17">
        <v>3</v>
      </c>
      <c r="J312" s="18">
        <f t="shared" si="8"/>
        <v>1</v>
      </c>
      <c r="K312" s="18">
        <f t="shared" si="9"/>
        <v>6</v>
      </c>
      <c r="L312" s="20">
        <f>IF(H312="Shipped",'Capacity &amp; Cost Dashboard'!D27+'Capacity &amp; Cost Dashboard'!D28*D312*INDEX('Capacity &amp; Cost Dashboard'!$C$31:$C$38,MATCH(INDEX(Products!$C$2:$C$31,MATCH(C312,Products!$A$2:$A$31,0)),'Capacity &amp; Cost Dashboard'!$B$31:$B$38,0)),0)</f>
        <v>12.05</v>
      </c>
    </row>
    <row r="313" spans="1:12" ht="18" x14ac:dyDescent="0.2">
      <c r="A313" s="17">
        <v>903</v>
      </c>
      <c r="B313" s="17" t="s">
        <v>834</v>
      </c>
      <c r="C313" s="17" t="s">
        <v>154</v>
      </c>
      <c r="D313" s="17">
        <v>1</v>
      </c>
      <c r="E313" s="17" t="s">
        <v>410</v>
      </c>
      <c r="F313" s="17" t="s">
        <v>427</v>
      </c>
      <c r="G313" s="17" t="s">
        <v>407</v>
      </c>
      <c r="H313" s="17" t="s">
        <v>828</v>
      </c>
      <c r="I313" s="17">
        <v>5</v>
      </c>
      <c r="J313" s="18">
        <f t="shared" si="8"/>
        <v>0</v>
      </c>
      <c r="K313" s="18">
        <f t="shared" si="9"/>
        <v>6</v>
      </c>
      <c r="L313" s="20">
        <f>IF(H313="Shipped",'Capacity &amp; Cost Dashboard'!D27+'Capacity &amp; Cost Dashboard'!D28*D313*INDEX('Capacity &amp; Cost Dashboard'!$C$31:$C$38,MATCH(INDEX(Products!$C$2:$C$31,MATCH(C313,Products!$A$2:$A$31,0)),'Capacity &amp; Cost Dashboard'!$B$31:$B$38,0)),0)</f>
        <v>8.6750000000000007</v>
      </c>
    </row>
    <row r="314" spans="1:12" ht="18" x14ac:dyDescent="0.2">
      <c r="A314" s="17">
        <v>904</v>
      </c>
      <c r="B314" s="17" t="s">
        <v>835</v>
      </c>
      <c r="C314" s="17" t="s">
        <v>145</v>
      </c>
      <c r="D314" s="17">
        <v>18</v>
      </c>
      <c r="E314" s="17" t="s">
        <v>410</v>
      </c>
      <c r="F314" s="17" t="s">
        <v>179</v>
      </c>
      <c r="G314" s="17" t="s">
        <v>179</v>
      </c>
      <c r="H314" s="17" t="s">
        <v>828</v>
      </c>
      <c r="I314" s="17">
        <v>5</v>
      </c>
      <c r="J314" s="18">
        <f t="shared" si="8"/>
        <v>0</v>
      </c>
      <c r="K314" s="18">
        <f t="shared" si="9"/>
        <v>6</v>
      </c>
      <c r="L314" s="20">
        <f>IF(H314="Shipped",'Capacity &amp; Cost Dashboard'!D27+'Capacity &amp; Cost Dashboard'!D28*D314*INDEX('Capacity &amp; Cost Dashboard'!$C$31:$C$38,MATCH(INDEX(Products!$C$2:$C$31,MATCH(C314,Products!$A$2:$A$31,0)),'Capacity &amp; Cost Dashboard'!$B$31:$B$38,0)),0)</f>
        <v>10.43</v>
      </c>
    </row>
    <row r="315" spans="1:12" ht="18" x14ac:dyDescent="0.2">
      <c r="A315" s="17">
        <v>905</v>
      </c>
      <c r="B315" s="17" t="s">
        <v>855</v>
      </c>
      <c r="C315" s="17" t="s">
        <v>98</v>
      </c>
      <c r="D315" s="17">
        <v>26</v>
      </c>
      <c r="E315" s="17" t="s">
        <v>410</v>
      </c>
      <c r="F315" s="17" t="s">
        <v>416</v>
      </c>
      <c r="G315" s="17" t="s">
        <v>416</v>
      </c>
      <c r="H315" s="17" t="s">
        <v>828</v>
      </c>
      <c r="I315" s="17">
        <v>5</v>
      </c>
      <c r="J315" s="18">
        <f t="shared" si="8"/>
        <v>0</v>
      </c>
      <c r="K315" s="18">
        <f t="shared" si="9"/>
        <v>6</v>
      </c>
      <c r="L315" s="20" t="e">
        <f>IF(H315="Shipped",'Capacity &amp; Cost Dashboard'!D27+'Capacity &amp; Cost Dashboard'!D28*D315*INDEX('Capacity &amp; Cost Dashboard'!$C$31:$C$38,MATCH(INDEX(Products!$C$2:$C$31,MATCH(C315,Products!$A$2:$A$31,0)),'Capacity &amp; Cost Dashboard'!$B$31:$B$38,0)),0)</f>
        <v>#N/A</v>
      </c>
    </row>
    <row r="316" spans="1:12" ht="18" x14ac:dyDescent="0.2">
      <c r="A316" s="17">
        <v>906</v>
      </c>
      <c r="B316" s="17" t="s">
        <v>833</v>
      </c>
      <c r="C316" s="17" t="s">
        <v>156</v>
      </c>
      <c r="D316" s="17">
        <v>1</v>
      </c>
      <c r="E316" s="17" t="s">
        <v>419</v>
      </c>
      <c r="F316" s="17" t="s">
        <v>416</v>
      </c>
      <c r="G316" s="17" t="s">
        <v>416</v>
      </c>
      <c r="H316" s="17" t="s">
        <v>828</v>
      </c>
      <c r="I316" s="17">
        <v>4</v>
      </c>
      <c r="J316" s="18">
        <f t="shared" si="8"/>
        <v>0</v>
      </c>
      <c r="K316" s="18">
        <f t="shared" si="9"/>
        <v>6</v>
      </c>
      <c r="L316" s="20">
        <f>IF(H316="Shipped",'Capacity &amp; Cost Dashboard'!D27+'Capacity &amp; Cost Dashboard'!D28*D316*INDEX('Capacity &amp; Cost Dashboard'!$C$31:$C$38,MATCH(INDEX(Products!$C$2:$C$31,MATCH(C316,Products!$A$2:$A$31,0)),'Capacity &amp; Cost Dashboard'!$B$31:$B$38,0)),0)</f>
        <v>9.35</v>
      </c>
    </row>
    <row r="317" spans="1:12" ht="18" x14ac:dyDescent="0.2">
      <c r="A317" s="17">
        <v>907</v>
      </c>
      <c r="B317" s="17" t="s">
        <v>850</v>
      </c>
      <c r="C317" s="17" t="s">
        <v>145</v>
      </c>
      <c r="D317" s="17">
        <v>4</v>
      </c>
      <c r="E317" s="17" t="s">
        <v>389</v>
      </c>
      <c r="F317" s="17" t="s">
        <v>407</v>
      </c>
      <c r="G317" s="17" t="s">
        <v>419</v>
      </c>
      <c r="H317" s="17" t="s">
        <v>828</v>
      </c>
      <c r="I317" s="17">
        <v>5</v>
      </c>
      <c r="J317" s="18">
        <f t="shared" si="8"/>
        <v>0</v>
      </c>
      <c r="K317" s="18">
        <f t="shared" si="9"/>
        <v>6</v>
      </c>
      <c r="L317" s="20">
        <f>IF(H317="Shipped",'Capacity &amp; Cost Dashboard'!D27+'Capacity &amp; Cost Dashboard'!D28*D317*INDEX('Capacity &amp; Cost Dashboard'!$C$31:$C$38,MATCH(INDEX(Products!$C$2:$C$31,MATCH(C317,Products!$A$2:$A$31,0)),'Capacity &amp; Cost Dashboard'!$B$31:$B$38,0)),0)</f>
        <v>8.5399999999999991</v>
      </c>
    </row>
    <row r="318" spans="1:12" ht="18" x14ac:dyDescent="0.2">
      <c r="A318" s="17">
        <v>908</v>
      </c>
      <c r="B318" s="17" t="s">
        <v>843</v>
      </c>
      <c r="C318" s="17" t="s">
        <v>109</v>
      </c>
      <c r="D318" s="17">
        <v>3</v>
      </c>
      <c r="E318" s="17" t="s">
        <v>389</v>
      </c>
      <c r="F318" s="17" t="s">
        <v>407</v>
      </c>
      <c r="G318" s="17" t="s">
        <v>419</v>
      </c>
      <c r="H318" s="17" t="s">
        <v>828</v>
      </c>
      <c r="I318" s="17">
        <v>5</v>
      </c>
      <c r="J318" s="18">
        <f t="shared" si="8"/>
        <v>0</v>
      </c>
      <c r="K318" s="18">
        <f t="shared" si="9"/>
        <v>6</v>
      </c>
      <c r="L318" s="20">
        <f>IF(H318="Shipped",'Capacity &amp; Cost Dashboard'!D27+'Capacity &amp; Cost Dashboard'!D28*D318*INDEX('Capacity &amp; Cost Dashboard'!$C$31:$C$38,MATCH(INDEX(Products!$C$2:$C$31,MATCH(C318,Products!$A$2:$A$31,0)),'Capacity &amp; Cost Dashboard'!$B$31:$B$38,0)),0)</f>
        <v>14.75</v>
      </c>
    </row>
    <row r="319" spans="1:12" ht="18" x14ac:dyDescent="0.2">
      <c r="A319" s="17">
        <v>909</v>
      </c>
      <c r="B319" s="17" t="s">
        <v>841</v>
      </c>
      <c r="C319" s="17" t="s">
        <v>145</v>
      </c>
      <c r="D319" s="17">
        <v>10</v>
      </c>
      <c r="E319" s="17" t="s">
        <v>389</v>
      </c>
      <c r="F319" s="17" t="s">
        <v>416</v>
      </c>
      <c r="G319" s="17" t="s">
        <v>413</v>
      </c>
      <c r="H319" s="17" t="s">
        <v>828</v>
      </c>
      <c r="I319" s="17">
        <v>3</v>
      </c>
      <c r="J319" s="18">
        <f t="shared" si="8"/>
        <v>1</v>
      </c>
      <c r="K319" s="18">
        <f t="shared" si="9"/>
        <v>6</v>
      </c>
      <c r="L319" s="20">
        <f>IF(H319="Shipped",'Capacity &amp; Cost Dashboard'!D27+'Capacity &amp; Cost Dashboard'!D28*D319*INDEX('Capacity &amp; Cost Dashboard'!$C$31:$C$38,MATCH(INDEX(Products!$C$2:$C$31,MATCH(C319,Products!$A$2:$A$31,0)),'Capacity &amp; Cost Dashboard'!$B$31:$B$38,0)),0)</f>
        <v>9.35</v>
      </c>
    </row>
    <row r="320" spans="1:12" ht="18" x14ac:dyDescent="0.2">
      <c r="A320" s="17">
        <v>910</v>
      </c>
      <c r="B320" s="17" t="s">
        <v>835</v>
      </c>
      <c r="C320" s="17" t="s">
        <v>125</v>
      </c>
      <c r="D320" s="17">
        <v>2</v>
      </c>
      <c r="E320" s="17" t="s">
        <v>389</v>
      </c>
      <c r="F320" s="17" t="s">
        <v>416</v>
      </c>
      <c r="G320" s="17" t="s">
        <v>416</v>
      </c>
      <c r="H320" s="17" t="s">
        <v>828</v>
      </c>
      <c r="I320" s="17">
        <v>5</v>
      </c>
      <c r="J320" s="18">
        <f t="shared" si="8"/>
        <v>0</v>
      </c>
      <c r="K320" s="18">
        <f t="shared" si="9"/>
        <v>6</v>
      </c>
      <c r="L320" s="20">
        <f>IF(H320="Shipped",'Capacity &amp; Cost Dashboard'!D27+'Capacity &amp; Cost Dashboard'!D28*D320*INDEX('Capacity &amp; Cost Dashboard'!$C$31:$C$38,MATCH(INDEX(Products!$C$2:$C$31,MATCH(C320,Products!$A$2:$A$31,0)),'Capacity &amp; Cost Dashboard'!$B$31:$B$38,0)),0)</f>
        <v>8.9</v>
      </c>
    </row>
    <row r="321" spans="1:12" ht="18" x14ac:dyDescent="0.2">
      <c r="A321" s="17">
        <v>911</v>
      </c>
      <c r="B321" s="17" t="s">
        <v>839</v>
      </c>
      <c r="C321" s="17" t="s">
        <v>111</v>
      </c>
      <c r="D321" s="17">
        <v>17</v>
      </c>
      <c r="E321" s="17" t="s">
        <v>178</v>
      </c>
      <c r="F321" s="17" t="s">
        <v>407</v>
      </c>
      <c r="G321" s="17" t="s">
        <v>454</v>
      </c>
      <c r="H321" s="17" t="s">
        <v>828</v>
      </c>
      <c r="I321" s="17">
        <v>2</v>
      </c>
      <c r="J321" s="18">
        <f t="shared" si="8"/>
        <v>1</v>
      </c>
      <c r="K321" s="18">
        <f t="shared" si="9"/>
        <v>6</v>
      </c>
      <c r="L321" s="20">
        <f>IF(H321="Shipped",'Capacity &amp; Cost Dashboard'!D27+'Capacity &amp; Cost Dashboard'!D28*D321*INDEX('Capacity &amp; Cost Dashboard'!$C$31:$C$38,MATCH(INDEX(Products!$C$2:$C$31,MATCH(C321,Products!$A$2:$A$31,0)),'Capacity &amp; Cost Dashboard'!$B$31:$B$38,0)),0)</f>
        <v>46.25</v>
      </c>
    </row>
    <row r="322" spans="1:12" ht="18" x14ac:dyDescent="0.2">
      <c r="A322" s="17">
        <v>912</v>
      </c>
      <c r="B322" s="17" t="s">
        <v>840</v>
      </c>
      <c r="C322" s="17" t="s">
        <v>125</v>
      </c>
      <c r="D322" s="17">
        <v>6</v>
      </c>
      <c r="E322" s="17" t="s">
        <v>178</v>
      </c>
      <c r="F322" s="17" t="s">
        <v>419</v>
      </c>
      <c r="G322" s="17" t="s">
        <v>419</v>
      </c>
      <c r="H322" s="17" t="s">
        <v>828</v>
      </c>
      <c r="I322" s="17">
        <v>5</v>
      </c>
      <c r="J322" s="18">
        <f t="shared" ref="J322:J385" si="10">IF(H322="Shipped",IF(G322&gt;F322,1,0),"")</f>
        <v>0</v>
      </c>
      <c r="K322" s="18">
        <f t="shared" ref="K322:K385" si="11">INT((DATEVALUE(E322)-DATE(2026,4,6))/7)</f>
        <v>6</v>
      </c>
      <c r="L322" s="20">
        <f>IF(H322="Shipped",'Capacity &amp; Cost Dashboard'!D27+'Capacity &amp; Cost Dashboard'!D28*D322*INDEX('Capacity &amp; Cost Dashboard'!$C$31:$C$38,MATCH(INDEX(Products!$C$2:$C$31,MATCH(C322,Products!$A$2:$A$31,0)),'Capacity &amp; Cost Dashboard'!$B$31:$B$38,0)),0)</f>
        <v>10.7</v>
      </c>
    </row>
    <row r="323" spans="1:12" ht="18" x14ac:dyDescent="0.2">
      <c r="A323" s="17">
        <v>913</v>
      </c>
      <c r="B323" s="17" t="s">
        <v>837</v>
      </c>
      <c r="C323" s="17" t="s">
        <v>100</v>
      </c>
      <c r="D323" s="17">
        <v>5</v>
      </c>
      <c r="E323" s="17" t="s">
        <v>410</v>
      </c>
      <c r="F323" s="17" t="s">
        <v>179</v>
      </c>
      <c r="G323" s="17" t="s">
        <v>413</v>
      </c>
      <c r="H323" s="17" t="s">
        <v>828</v>
      </c>
      <c r="I323" s="17">
        <v>3</v>
      </c>
      <c r="J323" s="18">
        <f t="shared" si="10"/>
        <v>1</v>
      </c>
      <c r="K323" s="18">
        <f t="shared" si="11"/>
        <v>6</v>
      </c>
      <c r="L323" s="20" t="e">
        <f>IF(H323="Shipped",'Capacity &amp; Cost Dashboard'!D27+'Capacity &amp; Cost Dashboard'!D28*D323*INDEX('Capacity &amp; Cost Dashboard'!$C$31:$C$38,MATCH(INDEX(Products!$C$2:$C$31,MATCH(C323,Products!$A$2:$A$31,0)),'Capacity &amp; Cost Dashboard'!$B$31:$B$38,0)),0)</f>
        <v>#N/A</v>
      </c>
    </row>
    <row r="324" spans="1:12" ht="18" x14ac:dyDescent="0.2">
      <c r="A324" s="17">
        <v>914</v>
      </c>
      <c r="B324" s="17" t="s">
        <v>853</v>
      </c>
      <c r="C324" s="17" t="s">
        <v>143</v>
      </c>
      <c r="D324" s="17">
        <v>26</v>
      </c>
      <c r="E324" s="17" t="s">
        <v>389</v>
      </c>
      <c r="F324" s="17" t="s">
        <v>416</v>
      </c>
      <c r="G324" s="17" t="s">
        <v>416</v>
      </c>
      <c r="H324" s="17" t="s">
        <v>828</v>
      </c>
      <c r="I324" s="17">
        <v>5</v>
      </c>
      <c r="J324" s="18">
        <f t="shared" si="10"/>
        <v>0</v>
      </c>
      <c r="K324" s="18">
        <f t="shared" si="11"/>
        <v>6</v>
      </c>
      <c r="L324" s="20">
        <f>IF(H324="Shipped",'Capacity &amp; Cost Dashboard'!D27+'Capacity &amp; Cost Dashboard'!D28*D324*INDEX('Capacity &amp; Cost Dashboard'!$C$31:$C$38,MATCH(INDEX(Products!$C$2:$C$31,MATCH(C324,Products!$A$2:$A$31,0)),'Capacity &amp; Cost Dashboard'!$B$31:$B$38,0)),0)</f>
        <v>11.51</v>
      </c>
    </row>
    <row r="325" spans="1:12" ht="18" x14ac:dyDescent="0.2">
      <c r="A325" s="17">
        <v>915</v>
      </c>
      <c r="B325" s="17" t="s">
        <v>854</v>
      </c>
      <c r="C325" s="17" t="s">
        <v>120</v>
      </c>
      <c r="D325" s="17">
        <v>5</v>
      </c>
      <c r="E325" s="17" t="s">
        <v>178</v>
      </c>
      <c r="F325" s="17" t="s">
        <v>427</v>
      </c>
      <c r="G325" s="17" t="s">
        <v>407</v>
      </c>
      <c r="H325" s="17" t="s">
        <v>828</v>
      </c>
      <c r="I325" s="17">
        <v>4</v>
      </c>
      <c r="J325" s="18">
        <f t="shared" si="10"/>
        <v>0</v>
      </c>
      <c r="K325" s="18">
        <f t="shared" si="11"/>
        <v>6</v>
      </c>
      <c r="L325" s="20">
        <f>IF(H325="Shipped",'Capacity &amp; Cost Dashboard'!D27+'Capacity &amp; Cost Dashboard'!D28*D325*INDEX('Capacity &amp; Cost Dashboard'!$C$31:$C$38,MATCH(INDEX(Products!$C$2:$C$31,MATCH(C325,Products!$A$2:$A$31,0)),'Capacity &amp; Cost Dashboard'!$B$31:$B$38,0)),0)</f>
        <v>10.25</v>
      </c>
    </row>
    <row r="326" spans="1:12" ht="18" x14ac:dyDescent="0.2">
      <c r="A326" s="17">
        <v>916</v>
      </c>
      <c r="B326" s="17" t="s">
        <v>836</v>
      </c>
      <c r="C326" s="17" t="s">
        <v>143</v>
      </c>
      <c r="D326" s="17">
        <v>13</v>
      </c>
      <c r="E326" s="17" t="s">
        <v>419</v>
      </c>
      <c r="F326" s="17" t="s">
        <v>179</v>
      </c>
      <c r="G326" s="17" t="s">
        <v>454</v>
      </c>
      <c r="H326" s="17" t="s">
        <v>828</v>
      </c>
      <c r="I326" s="17">
        <v>3</v>
      </c>
      <c r="J326" s="18">
        <f t="shared" si="10"/>
        <v>1</v>
      </c>
      <c r="K326" s="18">
        <f t="shared" si="11"/>
        <v>6</v>
      </c>
      <c r="L326" s="20">
        <f>IF(H326="Shipped",'Capacity &amp; Cost Dashboard'!D27+'Capacity &amp; Cost Dashboard'!D28*D326*INDEX('Capacity &amp; Cost Dashboard'!$C$31:$C$38,MATCH(INDEX(Products!$C$2:$C$31,MATCH(C326,Products!$A$2:$A$31,0)),'Capacity &amp; Cost Dashboard'!$B$31:$B$38,0)),0)</f>
        <v>9.7550000000000008</v>
      </c>
    </row>
    <row r="327" spans="1:12" ht="18" x14ac:dyDescent="0.2">
      <c r="A327" s="17">
        <v>917</v>
      </c>
      <c r="B327" s="17" t="s">
        <v>839</v>
      </c>
      <c r="C327" s="17" t="s">
        <v>154</v>
      </c>
      <c r="D327" s="17">
        <v>2</v>
      </c>
      <c r="E327" s="17" t="s">
        <v>413</v>
      </c>
      <c r="F327" s="17" t="s">
        <v>467</v>
      </c>
      <c r="G327" s="17" t="s">
        <v>467</v>
      </c>
      <c r="H327" s="17" t="s">
        <v>828</v>
      </c>
      <c r="I327" s="17">
        <v>4</v>
      </c>
      <c r="J327" s="18">
        <f t="shared" si="10"/>
        <v>0</v>
      </c>
      <c r="K327" s="18">
        <f t="shared" si="11"/>
        <v>7</v>
      </c>
      <c r="L327" s="20">
        <f>IF(H327="Shipped",'Capacity &amp; Cost Dashboard'!D27+'Capacity &amp; Cost Dashboard'!D28*D327*INDEX('Capacity &amp; Cost Dashboard'!$C$31:$C$38,MATCH(INDEX(Products!$C$2:$C$31,MATCH(C327,Products!$A$2:$A$31,0)),'Capacity &amp; Cost Dashboard'!$B$31:$B$38,0)),0)</f>
        <v>9.35</v>
      </c>
    </row>
    <row r="328" spans="1:12" ht="18" x14ac:dyDescent="0.2">
      <c r="A328" s="17">
        <v>918</v>
      </c>
      <c r="B328" s="17" t="s">
        <v>826</v>
      </c>
      <c r="C328" s="17" t="s">
        <v>139</v>
      </c>
      <c r="D328" s="17">
        <v>6</v>
      </c>
      <c r="E328" s="17" t="s">
        <v>424</v>
      </c>
      <c r="F328" s="17" t="s">
        <v>180</v>
      </c>
      <c r="G328" s="17" t="s">
        <v>442</v>
      </c>
      <c r="H328" s="17" t="s">
        <v>828</v>
      </c>
      <c r="I328" s="17">
        <v>4</v>
      </c>
      <c r="J328" s="18">
        <f t="shared" si="10"/>
        <v>0</v>
      </c>
      <c r="K328" s="18">
        <f t="shared" si="11"/>
        <v>7</v>
      </c>
      <c r="L328" s="20">
        <f>IF(H328="Shipped",'Capacity &amp; Cost Dashboard'!D27+'Capacity &amp; Cost Dashboard'!D28*D328*INDEX('Capacity &amp; Cost Dashboard'!$C$31:$C$38,MATCH(INDEX(Products!$C$2:$C$31,MATCH(C328,Products!$A$2:$A$31,0)),'Capacity &amp; Cost Dashboard'!$B$31:$B$38,0)),0)</f>
        <v>8.81</v>
      </c>
    </row>
    <row r="329" spans="1:12" ht="18" x14ac:dyDescent="0.2">
      <c r="A329" s="17">
        <v>919</v>
      </c>
      <c r="B329" s="17" t="s">
        <v>832</v>
      </c>
      <c r="C329" s="17" t="s">
        <v>111</v>
      </c>
      <c r="D329" s="17">
        <v>30</v>
      </c>
      <c r="E329" s="17" t="s">
        <v>413</v>
      </c>
      <c r="F329" s="17" t="s">
        <v>467</v>
      </c>
      <c r="G329" s="17" t="s">
        <v>467</v>
      </c>
      <c r="H329" s="17" t="s">
        <v>828</v>
      </c>
      <c r="I329" s="17">
        <v>5</v>
      </c>
      <c r="J329" s="18">
        <f t="shared" si="10"/>
        <v>0</v>
      </c>
      <c r="K329" s="18">
        <f t="shared" si="11"/>
        <v>7</v>
      </c>
      <c r="L329" s="20">
        <f>IF(H329="Shipped",'Capacity &amp; Cost Dashboard'!D27+'Capacity &amp; Cost Dashboard'!D28*D329*INDEX('Capacity &amp; Cost Dashboard'!$C$31:$C$38,MATCH(INDEX(Products!$C$2:$C$31,MATCH(C329,Products!$A$2:$A$31,0)),'Capacity &amp; Cost Dashboard'!$B$31:$B$38,0)),0)</f>
        <v>75.5</v>
      </c>
    </row>
    <row r="330" spans="1:12" ht="18" x14ac:dyDescent="0.2">
      <c r="A330" s="17">
        <v>920</v>
      </c>
      <c r="B330" s="17" t="s">
        <v>840</v>
      </c>
      <c r="C330" s="17" t="s">
        <v>147</v>
      </c>
      <c r="D330" s="17">
        <v>39</v>
      </c>
      <c r="E330" s="17" t="s">
        <v>454</v>
      </c>
      <c r="F330" s="17" t="s">
        <v>442</v>
      </c>
      <c r="G330" s="17" t="s">
        <v>442</v>
      </c>
      <c r="H330" s="17" t="s">
        <v>828</v>
      </c>
      <c r="I330" s="17">
        <v>4</v>
      </c>
      <c r="J330" s="18">
        <f t="shared" si="10"/>
        <v>0</v>
      </c>
      <c r="K330" s="18">
        <f t="shared" si="11"/>
        <v>7</v>
      </c>
      <c r="L330" s="20">
        <f>IF(H330="Shipped",'Capacity &amp; Cost Dashboard'!D27+'Capacity &amp; Cost Dashboard'!D28*D330*INDEX('Capacity &amp; Cost Dashboard'!$C$31:$C$38,MATCH(INDEX(Products!$C$2:$C$31,MATCH(C330,Products!$A$2:$A$31,0)),'Capacity &amp; Cost Dashboard'!$B$31:$B$38,0)),0)</f>
        <v>13.265000000000001</v>
      </c>
    </row>
    <row r="331" spans="1:12" ht="18" x14ac:dyDescent="0.2">
      <c r="A331" s="17">
        <v>921</v>
      </c>
      <c r="B331" s="17" t="s">
        <v>856</v>
      </c>
      <c r="C331" s="17" t="s">
        <v>104</v>
      </c>
      <c r="D331" s="17">
        <v>1</v>
      </c>
      <c r="E331" s="17" t="s">
        <v>454</v>
      </c>
      <c r="F331" s="17" t="s">
        <v>442</v>
      </c>
      <c r="G331" s="17" t="s">
        <v>473</v>
      </c>
      <c r="H331" s="17" t="s">
        <v>828</v>
      </c>
      <c r="I331" s="17">
        <v>5</v>
      </c>
      <c r="J331" s="18">
        <f t="shared" si="10"/>
        <v>0</v>
      </c>
      <c r="K331" s="18">
        <f t="shared" si="11"/>
        <v>7</v>
      </c>
      <c r="L331" s="20">
        <f>IF(H331="Shipped",'Capacity &amp; Cost Dashboard'!D27+'Capacity &amp; Cost Dashboard'!D28*D331*INDEX('Capacity &amp; Cost Dashboard'!$C$31:$C$38,MATCH(INDEX(Products!$C$2:$C$31,MATCH(C331,Products!$A$2:$A$31,0)),'Capacity &amp; Cost Dashboard'!$B$31:$B$38,0)),0)</f>
        <v>10.25</v>
      </c>
    </row>
    <row r="332" spans="1:12" ht="18" x14ac:dyDescent="0.2">
      <c r="A332" s="17">
        <v>922</v>
      </c>
      <c r="B332" s="17" t="s">
        <v>834</v>
      </c>
      <c r="C332" s="17" t="s">
        <v>149</v>
      </c>
      <c r="D332" s="17">
        <v>8</v>
      </c>
      <c r="E332" s="17" t="s">
        <v>454</v>
      </c>
      <c r="F332" s="17" t="s">
        <v>442</v>
      </c>
      <c r="G332" s="17" t="s">
        <v>442</v>
      </c>
      <c r="H332" s="17" t="s">
        <v>828</v>
      </c>
      <c r="I332" s="17">
        <v>5</v>
      </c>
      <c r="J332" s="18">
        <f t="shared" si="10"/>
        <v>0</v>
      </c>
      <c r="K332" s="18">
        <f t="shared" si="11"/>
        <v>7</v>
      </c>
      <c r="L332" s="20">
        <f>IF(H332="Shipped",'Capacity &amp; Cost Dashboard'!D27+'Capacity &amp; Cost Dashboard'!D28*D332*INDEX('Capacity &amp; Cost Dashboard'!$C$31:$C$38,MATCH(INDEX(Products!$C$2:$C$31,MATCH(C332,Products!$A$2:$A$31,0)),'Capacity &amp; Cost Dashboard'!$B$31:$B$38,0)),0)</f>
        <v>13.4</v>
      </c>
    </row>
    <row r="333" spans="1:12" ht="18" x14ac:dyDescent="0.2">
      <c r="A333" s="17">
        <v>923</v>
      </c>
      <c r="B333" s="17" t="s">
        <v>833</v>
      </c>
      <c r="C333" s="17" t="s">
        <v>154</v>
      </c>
      <c r="D333" s="17">
        <v>6</v>
      </c>
      <c r="E333" s="17" t="s">
        <v>179</v>
      </c>
      <c r="F333" s="17" t="s">
        <v>473</v>
      </c>
      <c r="G333" s="17" t="s">
        <v>413</v>
      </c>
      <c r="H333" s="17" t="s">
        <v>828</v>
      </c>
      <c r="I333" s="17">
        <v>5</v>
      </c>
      <c r="J333" s="18">
        <f t="shared" si="10"/>
        <v>0</v>
      </c>
      <c r="K333" s="18">
        <f t="shared" si="11"/>
        <v>7</v>
      </c>
      <c r="L333" s="20">
        <f>IF(H333="Shipped",'Capacity &amp; Cost Dashboard'!D27+'Capacity &amp; Cost Dashboard'!D28*D333*INDEX('Capacity &amp; Cost Dashboard'!$C$31:$C$38,MATCH(INDEX(Products!$C$2:$C$31,MATCH(C333,Products!$A$2:$A$31,0)),'Capacity &amp; Cost Dashboard'!$B$31:$B$38,0)),0)</f>
        <v>12.05</v>
      </c>
    </row>
    <row r="334" spans="1:12" ht="18" x14ac:dyDescent="0.2">
      <c r="A334" s="17">
        <v>924</v>
      </c>
      <c r="B334" s="17" t="s">
        <v>830</v>
      </c>
      <c r="C334" s="17" t="s">
        <v>145</v>
      </c>
      <c r="D334" s="17">
        <v>6</v>
      </c>
      <c r="E334" s="17" t="s">
        <v>445</v>
      </c>
      <c r="F334" s="17" t="s">
        <v>442</v>
      </c>
      <c r="G334" s="17" t="s">
        <v>473</v>
      </c>
      <c r="H334" s="17" t="s">
        <v>828</v>
      </c>
      <c r="I334" s="17">
        <v>5</v>
      </c>
      <c r="J334" s="18">
        <f t="shared" si="10"/>
        <v>0</v>
      </c>
      <c r="K334" s="18">
        <f t="shared" si="11"/>
        <v>7</v>
      </c>
      <c r="L334" s="20">
        <f>IF(H334="Shipped",'Capacity &amp; Cost Dashboard'!D27+'Capacity &amp; Cost Dashboard'!D28*D334*INDEX('Capacity &amp; Cost Dashboard'!$C$31:$C$38,MATCH(INDEX(Products!$C$2:$C$31,MATCH(C334,Products!$A$2:$A$31,0)),'Capacity &amp; Cost Dashboard'!$B$31:$B$38,0)),0)</f>
        <v>8.81</v>
      </c>
    </row>
    <row r="335" spans="1:12" ht="18" x14ac:dyDescent="0.2">
      <c r="A335" s="17">
        <v>925</v>
      </c>
      <c r="B335" s="17" t="s">
        <v>840</v>
      </c>
      <c r="C335" s="17" t="s">
        <v>149</v>
      </c>
      <c r="D335" s="17">
        <v>6</v>
      </c>
      <c r="E335" s="17" t="s">
        <v>445</v>
      </c>
      <c r="F335" s="17" t="s">
        <v>470</v>
      </c>
      <c r="G335" s="17" t="s">
        <v>470</v>
      </c>
      <c r="H335" s="17" t="s">
        <v>828</v>
      </c>
      <c r="I335" s="17">
        <v>5</v>
      </c>
      <c r="J335" s="18">
        <f t="shared" si="10"/>
        <v>0</v>
      </c>
      <c r="K335" s="18">
        <f t="shared" si="11"/>
        <v>7</v>
      </c>
      <c r="L335" s="20">
        <f>IF(H335="Shipped",'Capacity &amp; Cost Dashboard'!D27+'Capacity &amp; Cost Dashboard'!D28*D335*INDEX('Capacity &amp; Cost Dashboard'!$C$31:$C$38,MATCH(INDEX(Products!$C$2:$C$31,MATCH(C335,Products!$A$2:$A$31,0)),'Capacity &amp; Cost Dashboard'!$B$31:$B$38,0)),0)</f>
        <v>12.05</v>
      </c>
    </row>
    <row r="336" spans="1:12" ht="18" x14ac:dyDescent="0.2">
      <c r="A336" s="17">
        <v>926</v>
      </c>
      <c r="B336" s="17" t="s">
        <v>857</v>
      </c>
      <c r="C336" s="17" t="s">
        <v>149</v>
      </c>
      <c r="D336" s="17">
        <v>3</v>
      </c>
      <c r="E336" s="17" t="s">
        <v>454</v>
      </c>
      <c r="F336" s="17" t="s">
        <v>473</v>
      </c>
      <c r="G336" s="17" t="s">
        <v>473</v>
      </c>
      <c r="H336" s="17" t="s">
        <v>828</v>
      </c>
      <c r="I336" s="17">
        <v>5</v>
      </c>
      <c r="J336" s="18">
        <f t="shared" si="10"/>
        <v>0</v>
      </c>
      <c r="K336" s="18">
        <f t="shared" si="11"/>
        <v>7</v>
      </c>
      <c r="L336" s="20">
        <f>IF(H336="Shipped",'Capacity &amp; Cost Dashboard'!D27+'Capacity &amp; Cost Dashboard'!D28*D336*INDEX('Capacity &amp; Cost Dashboard'!$C$31:$C$38,MATCH(INDEX(Products!$C$2:$C$31,MATCH(C336,Products!$A$2:$A$31,0)),'Capacity &amp; Cost Dashboard'!$B$31:$B$38,0)),0)</f>
        <v>10.025</v>
      </c>
    </row>
    <row r="337" spans="1:12" ht="18" x14ac:dyDescent="0.2">
      <c r="A337" s="17">
        <v>927</v>
      </c>
      <c r="B337" s="17" t="s">
        <v>831</v>
      </c>
      <c r="C337" s="17" t="s">
        <v>130</v>
      </c>
      <c r="D337" s="17">
        <v>9</v>
      </c>
      <c r="E337" s="17" t="s">
        <v>454</v>
      </c>
      <c r="F337" s="17" t="s">
        <v>413</v>
      </c>
      <c r="G337" s="17" t="s">
        <v>413</v>
      </c>
      <c r="H337" s="17" t="s">
        <v>828</v>
      </c>
      <c r="I337" s="17">
        <v>4</v>
      </c>
      <c r="J337" s="18">
        <f t="shared" si="10"/>
        <v>0</v>
      </c>
      <c r="K337" s="18">
        <f t="shared" si="11"/>
        <v>7</v>
      </c>
      <c r="L337" s="20">
        <f>IF(H337="Shipped",'Capacity &amp; Cost Dashboard'!D27+'Capacity &amp; Cost Dashboard'!D28*D337*INDEX('Capacity &amp; Cost Dashboard'!$C$31:$C$38,MATCH(INDEX(Products!$C$2:$C$31,MATCH(C337,Products!$A$2:$A$31,0)),'Capacity &amp; Cost Dashboard'!$B$31:$B$38,0)),0)</f>
        <v>16.100000000000001</v>
      </c>
    </row>
    <row r="338" spans="1:12" ht="18" x14ac:dyDescent="0.2">
      <c r="A338" s="17">
        <v>928</v>
      </c>
      <c r="B338" s="17" t="s">
        <v>846</v>
      </c>
      <c r="C338" s="17" t="s">
        <v>102</v>
      </c>
      <c r="D338" s="17">
        <v>3</v>
      </c>
      <c r="E338" s="17" t="s">
        <v>454</v>
      </c>
      <c r="F338" s="17" t="s">
        <v>442</v>
      </c>
      <c r="G338" s="17" t="s">
        <v>442</v>
      </c>
      <c r="H338" s="17" t="s">
        <v>828</v>
      </c>
      <c r="I338" s="17">
        <v>5</v>
      </c>
      <c r="J338" s="18">
        <f t="shared" si="10"/>
        <v>0</v>
      </c>
      <c r="K338" s="18">
        <f t="shared" si="11"/>
        <v>7</v>
      </c>
      <c r="L338" s="20" t="e">
        <f>IF(H338="Shipped",'Capacity &amp; Cost Dashboard'!D27+'Capacity &amp; Cost Dashboard'!D28*D338*INDEX('Capacity &amp; Cost Dashboard'!$C$31:$C$38,MATCH(INDEX(Products!$C$2:$C$31,MATCH(C338,Products!$A$2:$A$31,0)),'Capacity &amp; Cost Dashboard'!$B$31:$B$38,0)),0)</f>
        <v>#N/A</v>
      </c>
    </row>
    <row r="339" spans="1:12" ht="18" x14ac:dyDescent="0.2">
      <c r="A339" s="17">
        <v>929</v>
      </c>
      <c r="B339" s="17" t="s">
        <v>846</v>
      </c>
      <c r="C339" s="17" t="s">
        <v>102</v>
      </c>
      <c r="D339" s="17">
        <v>17</v>
      </c>
      <c r="E339" s="17" t="s">
        <v>424</v>
      </c>
      <c r="F339" s="17" t="s">
        <v>473</v>
      </c>
      <c r="G339" s="17" t="s">
        <v>413</v>
      </c>
      <c r="H339" s="17" t="s">
        <v>828</v>
      </c>
      <c r="I339" s="17">
        <v>5</v>
      </c>
      <c r="J339" s="18">
        <f t="shared" si="10"/>
        <v>0</v>
      </c>
      <c r="K339" s="18">
        <f t="shared" si="11"/>
        <v>7</v>
      </c>
      <c r="L339" s="20" t="e">
        <f>IF(H339="Shipped",'Capacity &amp; Cost Dashboard'!D27+'Capacity &amp; Cost Dashboard'!D28*D339*INDEX('Capacity &amp; Cost Dashboard'!$C$31:$C$38,MATCH(INDEX(Products!$C$2:$C$31,MATCH(C339,Products!$A$2:$A$31,0)),'Capacity &amp; Cost Dashboard'!$B$31:$B$38,0)),0)</f>
        <v>#N/A</v>
      </c>
    </row>
    <row r="340" spans="1:12" ht="18" x14ac:dyDescent="0.2">
      <c r="A340" s="17">
        <v>930</v>
      </c>
      <c r="B340" s="17" t="s">
        <v>831</v>
      </c>
      <c r="C340" s="17" t="s">
        <v>100</v>
      </c>
      <c r="D340" s="17">
        <v>21</v>
      </c>
      <c r="E340" s="17" t="s">
        <v>413</v>
      </c>
      <c r="F340" s="17" t="s">
        <v>180</v>
      </c>
      <c r="G340" s="17" t="s">
        <v>442</v>
      </c>
      <c r="H340" s="17" t="s">
        <v>828</v>
      </c>
      <c r="I340" s="17">
        <v>4</v>
      </c>
      <c r="J340" s="18">
        <f t="shared" si="10"/>
        <v>0</v>
      </c>
      <c r="K340" s="18">
        <f t="shared" si="11"/>
        <v>7</v>
      </c>
      <c r="L340" s="20" t="e">
        <f>IF(H340="Shipped",'Capacity &amp; Cost Dashboard'!D27+'Capacity &amp; Cost Dashboard'!D28*D340*INDEX('Capacity &amp; Cost Dashboard'!$C$31:$C$38,MATCH(INDEX(Products!$C$2:$C$31,MATCH(C340,Products!$A$2:$A$31,0)),'Capacity &amp; Cost Dashboard'!$B$31:$B$38,0)),0)</f>
        <v>#N/A</v>
      </c>
    </row>
    <row r="341" spans="1:12" ht="18" x14ac:dyDescent="0.2">
      <c r="A341" s="17">
        <v>931</v>
      </c>
      <c r="B341" s="17" t="s">
        <v>835</v>
      </c>
      <c r="C341" s="17" t="s">
        <v>147</v>
      </c>
      <c r="D341" s="17">
        <v>19</v>
      </c>
      <c r="E341" s="17" t="s">
        <v>424</v>
      </c>
      <c r="F341" s="17" t="s">
        <v>473</v>
      </c>
      <c r="G341" s="17" t="s">
        <v>473</v>
      </c>
      <c r="H341" s="17" t="s">
        <v>828</v>
      </c>
      <c r="I341" s="17">
        <v>5</v>
      </c>
      <c r="J341" s="18">
        <f t="shared" si="10"/>
        <v>0</v>
      </c>
      <c r="K341" s="18">
        <f t="shared" si="11"/>
        <v>7</v>
      </c>
      <c r="L341" s="20">
        <f>IF(H341="Shipped",'Capacity &amp; Cost Dashboard'!D27+'Capacity &amp; Cost Dashboard'!D28*D341*INDEX('Capacity &amp; Cost Dashboard'!$C$31:$C$38,MATCH(INDEX(Products!$C$2:$C$31,MATCH(C341,Products!$A$2:$A$31,0)),'Capacity &amp; Cost Dashboard'!$B$31:$B$38,0)),0)</f>
        <v>10.565</v>
      </c>
    </row>
    <row r="342" spans="1:12" ht="18" x14ac:dyDescent="0.2">
      <c r="A342" s="17">
        <v>932</v>
      </c>
      <c r="B342" s="17" t="s">
        <v>852</v>
      </c>
      <c r="C342" s="17" t="s">
        <v>109</v>
      </c>
      <c r="D342" s="17">
        <v>2</v>
      </c>
      <c r="E342" s="17" t="s">
        <v>413</v>
      </c>
      <c r="F342" s="17" t="s">
        <v>467</v>
      </c>
      <c r="G342" s="17" t="s">
        <v>467</v>
      </c>
      <c r="H342" s="17" t="s">
        <v>828</v>
      </c>
      <c r="I342" s="17">
        <v>4</v>
      </c>
      <c r="J342" s="18">
        <f t="shared" si="10"/>
        <v>0</v>
      </c>
      <c r="K342" s="18">
        <f t="shared" si="11"/>
        <v>7</v>
      </c>
      <c r="L342" s="20">
        <f>IF(H342="Shipped",'Capacity &amp; Cost Dashboard'!D27+'Capacity &amp; Cost Dashboard'!D28*D342*INDEX('Capacity &amp; Cost Dashboard'!$C$31:$C$38,MATCH(INDEX(Products!$C$2:$C$31,MATCH(C342,Products!$A$2:$A$31,0)),'Capacity &amp; Cost Dashboard'!$B$31:$B$38,0)),0)</f>
        <v>12.5</v>
      </c>
    </row>
    <row r="343" spans="1:12" ht="18" x14ac:dyDescent="0.2">
      <c r="A343" s="17">
        <v>933</v>
      </c>
      <c r="B343" s="17" t="s">
        <v>846</v>
      </c>
      <c r="C343" s="17" t="s">
        <v>147</v>
      </c>
      <c r="D343" s="17">
        <v>25</v>
      </c>
      <c r="E343" s="17" t="s">
        <v>179</v>
      </c>
      <c r="F343" s="17" t="s">
        <v>445</v>
      </c>
      <c r="G343" s="17" t="s">
        <v>424</v>
      </c>
      <c r="H343" s="17" t="s">
        <v>828</v>
      </c>
      <c r="I343" s="17">
        <v>4</v>
      </c>
      <c r="J343" s="18">
        <f t="shared" si="10"/>
        <v>0</v>
      </c>
      <c r="K343" s="18">
        <f t="shared" si="11"/>
        <v>7</v>
      </c>
      <c r="L343" s="20">
        <f>IF(H343="Shipped",'Capacity &amp; Cost Dashboard'!D27+'Capacity &amp; Cost Dashboard'!D28*D343*INDEX('Capacity &amp; Cost Dashboard'!$C$31:$C$38,MATCH(INDEX(Products!$C$2:$C$31,MATCH(C343,Products!$A$2:$A$31,0)),'Capacity &amp; Cost Dashboard'!$B$31:$B$38,0)),0)</f>
        <v>11.375</v>
      </c>
    </row>
    <row r="344" spans="1:12" ht="18" x14ac:dyDescent="0.2">
      <c r="A344" s="17">
        <v>934</v>
      </c>
      <c r="B344" s="17" t="s">
        <v>837</v>
      </c>
      <c r="C344" s="17" t="s">
        <v>141</v>
      </c>
      <c r="D344" s="17">
        <v>6</v>
      </c>
      <c r="E344" s="17" t="s">
        <v>424</v>
      </c>
      <c r="F344" s="17" t="s">
        <v>180</v>
      </c>
      <c r="G344" s="17" t="s">
        <v>442</v>
      </c>
      <c r="H344" s="17" t="s">
        <v>828</v>
      </c>
      <c r="I344" s="17">
        <v>5</v>
      </c>
      <c r="J344" s="18">
        <f t="shared" si="10"/>
        <v>0</v>
      </c>
      <c r="K344" s="18">
        <f t="shared" si="11"/>
        <v>7</v>
      </c>
      <c r="L344" s="20">
        <f>IF(H344="Shipped",'Capacity &amp; Cost Dashboard'!D27+'Capacity &amp; Cost Dashboard'!D28*D344*INDEX('Capacity &amp; Cost Dashboard'!$C$31:$C$38,MATCH(INDEX(Products!$C$2:$C$31,MATCH(C344,Products!$A$2:$A$31,0)),'Capacity &amp; Cost Dashboard'!$B$31:$B$38,0)),0)</f>
        <v>8.81</v>
      </c>
    </row>
    <row r="345" spans="1:12" ht="18" x14ac:dyDescent="0.2">
      <c r="A345" s="17">
        <v>935</v>
      </c>
      <c r="B345" s="17" t="s">
        <v>837</v>
      </c>
      <c r="C345" s="17" t="s">
        <v>161</v>
      </c>
      <c r="D345" s="17">
        <v>4</v>
      </c>
      <c r="E345" s="17" t="s">
        <v>424</v>
      </c>
      <c r="F345" s="17" t="s">
        <v>442</v>
      </c>
      <c r="G345" s="17" t="s">
        <v>442</v>
      </c>
      <c r="H345" s="17" t="s">
        <v>828</v>
      </c>
      <c r="I345" s="17">
        <v>5</v>
      </c>
      <c r="J345" s="18">
        <f t="shared" si="10"/>
        <v>0</v>
      </c>
      <c r="K345" s="18">
        <f t="shared" si="11"/>
        <v>7</v>
      </c>
      <c r="L345" s="20">
        <f>IF(H345="Shipped",'Capacity &amp; Cost Dashboard'!D27+'Capacity &amp; Cost Dashboard'!D28*D345*INDEX('Capacity &amp; Cost Dashboard'!$C$31:$C$38,MATCH(INDEX(Products!$C$2:$C$31,MATCH(C345,Products!$A$2:$A$31,0)),'Capacity &amp; Cost Dashboard'!$B$31:$B$38,0)),0)</f>
        <v>13.4</v>
      </c>
    </row>
    <row r="346" spans="1:12" ht="18" x14ac:dyDescent="0.2">
      <c r="A346" s="17">
        <v>936</v>
      </c>
      <c r="B346" s="17" t="s">
        <v>830</v>
      </c>
      <c r="C346" s="17" t="s">
        <v>118</v>
      </c>
      <c r="D346" s="17">
        <v>3</v>
      </c>
      <c r="E346" s="17" t="s">
        <v>179</v>
      </c>
      <c r="F346" s="17" t="s">
        <v>445</v>
      </c>
      <c r="G346" s="17" t="s">
        <v>424</v>
      </c>
      <c r="H346" s="17" t="s">
        <v>828</v>
      </c>
      <c r="I346" s="17">
        <v>4</v>
      </c>
      <c r="J346" s="18">
        <f t="shared" si="10"/>
        <v>0</v>
      </c>
      <c r="K346" s="18">
        <f t="shared" si="11"/>
        <v>7</v>
      </c>
      <c r="L346" s="20">
        <f>IF(H346="Shipped",'Capacity &amp; Cost Dashboard'!D27+'Capacity &amp; Cost Dashboard'!D28*D346*INDEX('Capacity &amp; Cost Dashboard'!$C$31:$C$38,MATCH(INDEX(Products!$C$2:$C$31,MATCH(C346,Products!$A$2:$A$31,0)),'Capacity &amp; Cost Dashboard'!$B$31:$B$38,0)),0)</f>
        <v>10.7</v>
      </c>
    </row>
    <row r="347" spans="1:12" ht="18" x14ac:dyDescent="0.2">
      <c r="A347" s="17">
        <v>937</v>
      </c>
      <c r="B347" s="17" t="s">
        <v>842</v>
      </c>
      <c r="C347" s="17" t="s">
        <v>152</v>
      </c>
      <c r="D347" s="17">
        <v>5</v>
      </c>
      <c r="E347" s="17" t="s">
        <v>413</v>
      </c>
      <c r="F347" s="17" t="s">
        <v>467</v>
      </c>
      <c r="G347" s="17" t="s">
        <v>181</v>
      </c>
      <c r="H347" s="17" t="s">
        <v>828</v>
      </c>
      <c r="I347" s="17">
        <v>3</v>
      </c>
      <c r="J347" s="18">
        <f t="shared" si="10"/>
        <v>1</v>
      </c>
      <c r="K347" s="18">
        <f t="shared" si="11"/>
        <v>7</v>
      </c>
      <c r="L347" s="20">
        <f>IF(H347="Shipped",'Capacity &amp; Cost Dashboard'!D27+'Capacity &amp; Cost Dashboard'!D28*D347*INDEX('Capacity &amp; Cost Dashboard'!$C$31:$C$38,MATCH(INDEX(Products!$C$2:$C$31,MATCH(C347,Products!$A$2:$A$31,0)),'Capacity &amp; Cost Dashboard'!$B$31:$B$38,0)),0)</f>
        <v>11.375</v>
      </c>
    </row>
    <row r="348" spans="1:12" ht="18" x14ac:dyDescent="0.2">
      <c r="A348" s="17">
        <v>938</v>
      </c>
      <c r="B348" s="17" t="s">
        <v>842</v>
      </c>
      <c r="C348" s="17" t="s">
        <v>143</v>
      </c>
      <c r="D348" s="17">
        <v>33</v>
      </c>
      <c r="E348" s="17" t="s">
        <v>413</v>
      </c>
      <c r="F348" s="17" t="s">
        <v>467</v>
      </c>
      <c r="G348" s="17" t="s">
        <v>470</v>
      </c>
      <c r="H348" s="17" t="s">
        <v>828</v>
      </c>
      <c r="I348" s="17">
        <v>5</v>
      </c>
      <c r="J348" s="18">
        <f t="shared" si="10"/>
        <v>0</v>
      </c>
      <c r="K348" s="18">
        <f t="shared" si="11"/>
        <v>7</v>
      </c>
      <c r="L348" s="20">
        <f>IF(H348="Shipped",'Capacity &amp; Cost Dashboard'!D27+'Capacity &amp; Cost Dashboard'!D28*D348*INDEX('Capacity &amp; Cost Dashboard'!$C$31:$C$38,MATCH(INDEX(Products!$C$2:$C$31,MATCH(C348,Products!$A$2:$A$31,0)),'Capacity &amp; Cost Dashboard'!$B$31:$B$38,0)),0)</f>
        <v>12.455</v>
      </c>
    </row>
    <row r="349" spans="1:12" ht="18" x14ac:dyDescent="0.2">
      <c r="A349" s="17">
        <v>939</v>
      </c>
      <c r="B349" s="17" t="s">
        <v>836</v>
      </c>
      <c r="C349" s="17" t="s">
        <v>118</v>
      </c>
      <c r="D349" s="17">
        <v>9</v>
      </c>
      <c r="E349" s="17" t="s">
        <v>179</v>
      </c>
      <c r="F349" s="17" t="s">
        <v>473</v>
      </c>
      <c r="G349" s="17" t="s">
        <v>413</v>
      </c>
      <c r="H349" s="17" t="s">
        <v>828</v>
      </c>
      <c r="I349" s="17">
        <v>5</v>
      </c>
      <c r="J349" s="18">
        <f t="shared" si="10"/>
        <v>0</v>
      </c>
      <c r="K349" s="18">
        <f t="shared" si="11"/>
        <v>7</v>
      </c>
      <c r="L349" s="20">
        <f>IF(H349="Shipped",'Capacity &amp; Cost Dashboard'!D27+'Capacity &amp; Cost Dashboard'!D28*D349*INDEX('Capacity &amp; Cost Dashboard'!$C$31:$C$38,MATCH(INDEX(Products!$C$2:$C$31,MATCH(C349,Products!$A$2:$A$31,0)),'Capacity &amp; Cost Dashboard'!$B$31:$B$38,0)),0)</f>
        <v>16.100000000000001</v>
      </c>
    </row>
    <row r="350" spans="1:12" ht="18" x14ac:dyDescent="0.2">
      <c r="A350" s="17">
        <v>940</v>
      </c>
      <c r="B350" s="17" t="s">
        <v>832</v>
      </c>
      <c r="C350" s="17" t="s">
        <v>145</v>
      </c>
      <c r="D350" s="17">
        <v>18</v>
      </c>
      <c r="E350" s="17" t="s">
        <v>179</v>
      </c>
      <c r="F350" s="17" t="s">
        <v>445</v>
      </c>
      <c r="G350" s="17" t="s">
        <v>445</v>
      </c>
      <c r="H350" s="17" t="s">
        <v>828</v>
      </c>
      <c r="I350" s="17">
        <v>5</v>
      </c>
      <c r="J350" s="18">
        <f t="shared" si="10"/>
        <v>0</v>
      </c>
      <c r="K350" s="18">
        <f t="shared" si="11"/>
        <v>7</v>
      </c>
      <c r="L350" s="20">
        <f>IF(H350="Shipped",'Capacity &amp; Cost Dashboard'!D27+'Capacity &amp; Cost Dashboard'!D28*D350*INDEX('Capacity &amp; Cost Dashboard'!$C$31:$C$38,MATCH(INDEX(Products!$C$2:$C$31,MATCH(C350,Products!$A$2:$A$31,0)),'Capacity &amp; Cost Dashboard'!$B$31:$B$38,0)),0)</f>
        <v>10.43</v>
      </c>
    </row>
    <row r="351" spans="1:12" ht="18" x14ac:dyDescent="0.2">
      <c r="A351" s="17">
        <v>941</v>
      </c>
      <c r="B351" s="17" t="s">
        <v>826</v>
      </c>
      <c r="C351" s="17" t="s">
        <v>116</v>
      </c>
      <c r="D351" s="17">
        <v>1</v>
      </c>
      <c r="E351" s="17" t="s">
        <v>413</v>
      </c>
      <c r="F351" s="17" t="s">
        <v>467</v>
      </c>
      <c r="G351" s="17" t="s">
        <v>470</v>
      </c>
      <c r="H351" s="17" t="s">
        <v>828</v>
      </c>
      <c r="I351" s="17">
        <v>4</v>
      </c>
      <c r="J351" s="18">
        <f t="shared" si="10"/>
        <v>0</v>
      </c>
      <c r="K351" s="18">
        <f t="shared" si="11"/>
        <v>7</v>
      </c>
      <c r="L351" s="20">
        <f>IF(H351="Shipped",'Capacity &amp; Cost Dashboard'!D27+'Capacity &amp; Cost Dashboard'!D28*D351*INDEX('Capacity &amp; Cost Dashboard'!$C$31:$C$38,MATCH(INDEX(Products!$C$2:$C$31,MATCH(C351,Products!$A$2:$A$31,0)),'Capacity &amp; Cost Dashboard'!$B$31:$B$38,0)),0)</f>
        <v>8.9</v>
      </c>
    </row>
    <row r="352" spans="1:12" ht="18" x14ac:dyDescent="0.2">
      <c r="A352" s="17">
        <v>942</v>
      </c>
      <c r="B352" s="17" t="s">
        <v>836</v>
      </c>
      <c r="C352" s="17" t="s">
        <v>156</v>
      </c>
      <c r="D352" s="17">
        <v>3</v>
      </c>
      <c r="E352" s="17" t="s">
        <v>454</v>
      </c>
      <c r="F352" s="17" t="s">
        <v>442</v>
      </c>
      <c r="G352" s="17" t="s">
        <v>473</v>
      </c>
      <c r="H352" s="17" t="s">
        <v>828</v>
      </c>
      <c r="I352" s="17">
        <v>5</v>
      </c>
      <c r="J352" s="18">
        <f t="shared" si="10"/>
        <v>0</v>
      </c>
      <c r="K352" s="18">
        <f t="shared" si="11"/>
        <v>7</v>
      </c>
      <c r="L352" s="20">
        <f>IF(H352="Shipped",'Capacity &amp; Cost Dashboard'!D27+'Capacity &amp; Cost Dashboard'!D28*D352*INDEX('Capacity &amp; Cost Dashboard'!$C$31:$C$38,MATCH(INDEX(Products!$C$2:$C$31,MATCH(C352,Products!$A$2:$A$31,0)),'Capacity &amp; Cost Dashboard'!$B$31:$B$38,0)),0)</f>
        <v>12.05</v>
      </c>
    </row>
    <row r="353" spans="1:12" ht="18" x14ac:dyDescent="0.2">
      <c r="A353" s="17">
        <v>943</v>
      </c>
      <c r="B353" s="17" t="s">
        <v>846</v>
      </c>
      <c r="C353" s="17" t="s">
        <v>116</v>
      </c>
      <c r="D353" s="17">
        <v>5</v>
      </c>
      <c r="E353" s="17" t="s">
        <v>424</v>
      </c>
      <c r="F353" s="17" t="s">
        <v>442</v>
      </c>
      <c r="G353" s="17" t="s">
        <v>473</v>
      </c>
      <c r="H353" s="17" t="s">
        <v>828</v>
      </c>
      <c r="I353" s="17">
        <v>5</v>
      </c>
      <c r="J353" s="18">
        <f t="shared" si="10"/>
        <v>0</v>
      </c>
      <c r="K353" s="18">
        <f t="shared" si="11"/>
        <v>7</v>
      </c>
      <c r="L353" s="20">
        <f>IF(H353="Shipped",'Capacity &amp; Cost Dashboard'!D27+'Capacity &amp; Cost Dashboard'!D28*D353*INDEX('Capacity &amp; Cost Dashboard'!$C$31:$C$38,MATCH(INDEX(Products!$C$2:$C$31,MATCH(C353,Products!$A$2:$A$31,0)),'Capacity &amp; Cost Dashboard'!$B$31:$B$38,0)),0)</f>
        <v>12.5</v>
      </c>
    </row>
    <row r="354" spans="1:12" ht="18" x14ac:dyDescent="0.2">
      <c r="A354" s="17">
        <v>944</v>
      </c>
      <c r="B354" s="17" t="s">
        <v>837</v>
      </c>
      <c r="C354" s="17" t="s">
        <v>127</v>
      </c>
      <c r="D354" s="17">
        <v>8</v>
      </c>
      <c r="E354" s="17" t="s">
        <v>445</v>
      </c>
      <c r="F354" s="17" t="s">
        <v>470</v>
      </c>
      <c r="G354" s="17" t="s">
        <v>470</v>
      </c>
      <c r="H354" s="17" t="s">
        <v>828</v>
      </c>
      <c r="I354" s="17">
        <v>5</v>
      </c>
      <c r="J354" s="18">
        <f t="shared" si="10"/>
        <v>0</v>
      </c>
      <c r="K354" s="18">
        <f t="shared" si="11"/>
        <v>7</v>
      </c>
      <c r="L354" s="20">
        <f>IF(H354="Shipped",'Capacity &amp; Cost Dashboard'!D27+'Capacity &amp; Cost Dashboard'!D28*D354*INDEX('Capacity &amp; Cost Dashboard'!$C$31:$C$38,MATCH(INDEX(Products!$C$2:$C$31,MATCH(C354,Products!$A$2:$A$31,0)),'Capacity &amp; Cost Dashboard'!$B$31:$B$38,0)),0)</f>
        <v>15.2</v>
      </c>
    </row>
    <row r="355" spans="1:12" ht="18" x14ac:dyDescent="0.2">
      <c r="A355" s="17">
        <v>945</v>
      </c>
      <c r="B355" s="17" t="s">
        <v>840</v>
      </c>
      <c r="C355" s="17" t="s">
        <v>149</v>
      </c>
      <c r="D355" s="17">
        <v>7</v>
      </c>
      <c r="E355" s="17" t="s">
        <v>424</v>
      </c>
      <c r="F355" s="17" t="s">
        <v>180</v>
      </c>
      <c r="G355" s="17" t="s">
        <v>442</v>
      </c>
      <c r="H355" s="17" t="s">
        <v>828</v>
      </c>
      <c r="I355" s="17">
        <v>5</v>
      </c>
      <c r="J355" s="18">
        <f t="shared" si="10"/>
        <v>0</v>
      </c>
      <c r="K355" s="18">
        <f t="shared" si="11"/>
        <v>7</v>
      </c>
      <c r="L355" s="20">
        <f>IF(H355="Shipped",'Capacity &amp; Cost Dashboard'!D27+'Capacity &amp; Cost Dashboard'!D28*D355*INDEX('Capacity &amp; Cost Dashboard'!$C$31:$C$38,MATCH(INDEX(Products!$C$2:$C$31,MATCH(C355,Products!$A$2:$A$31,0)),'Capacity &amp; Cost Dashboard'!$B$31:$B$38,0)),0)</f>
        <v>12.725</v>
      </c>
    </row>
    <row r="356" spans="1:12" ht="18" x14ac:dyDescent="0.2">
      <c r="A356" s="17">
        <v>946</v>
      </c>
      <c r="B356" s="17" t="s">
        <v>830</v>
      </c>
      <c r="C356" s="17" t="s">
        <v>118</v>
      </c>
      <c r="D356" s="17">
        <v>7</v>
      </c>
      <c r="E356" s="17" t="s">
        <v>424</v>
      </c>
      <c r="F356" s="17" t="s">
        <v>180</v>
      </c>
      <c r="G356" s="17" t="s">
        <v>442</v>
      </c>
      <c r="H356" s="17" t="s">
        <v>828</v>
      </c>
      <c r="I356" s="17">
        <v>4</v>
      </c>
      <c r="J356" s="18">
        <f t="shared" si="10"/>
        <v>0</v>
      </c>
      <c r="K356" s="18">
        <f t="shared" si="11"/>
        <v>7</v>
      </c>
      <c r="L356" s="20">
        <f>IF(H356="Shipped",'Capacity &amp; Cost Dashboard'!D27+'Capacity &amp; Cost Dashboard'!D28*D356*INDEX('Capacity &amp; Cost Dashboard'!$C$31:$C$38,MATCH(INDEX(Products!$C$2:$C$31,MATCH(C356,Products!$A$2:$A$31,0)),'Capacity &amp; Cost Dashboard'!$B$31:$B$38,0)),0)</f>
        <v>14.3</v>
      </c>
    </row>
    <row r="357" spans="1:12" ht="18" x14ac:dyDescent="0.2">
      <c r="A357" s="17">
        <v>947</v>
      </c>
      <c r="B357" s="17" t="s">
        <v>843</v>
      </c>
      <c r="C357" s="17" t="s">
        <v>102</v>
      </c>
      <c r="D357" s="17">
        <v>1</v>
      </c>
      <c r="E357" s="17" t="s">
        <v>179</v>
      </c>
      <c r="F357" s="17" t="s">
        <v>413</v>
      </c>
      <c r="G357" s="17" t="s">
        <v>413</v>
      </c>
      <c r="H357" s="17" t="s">
        <v>828</v>
      </c>
      <c r="I357" s="17">
        <v>5</v>
      </c>
      <c r="J357" s="18">
        <f t="shared" si="10"/>
        <v>0</v>
      </c>
      <c r="K357" s="18">
        <f t="shared" si="11"/>
        <v>7</v>
      </c>
      <c r="L357" s="20" t="e">
        <f>IF(H357="Shipped",'Capacity &amp; Cost Dashboard'!D27+'Capacity &amp; Cost Dashboard'!D28*D357*INDEX('Capacity &amp; Cost Dashboard'!$C$31:$C$38,MATCH(INDEX(Products!$C$2:$C$31,MATCH(C357,Products!$A$2:$A$31,0)),'Capacity &amp; Cost Dashboard'!$B$31:$B$38,0)),0)</f>
        <v>#N/A</v>
      </c>
    </row>
    <row r="358" spans="1:12" ht="18" x14ac:dyDescent="0.2">
      <c r="A358" s="17">
        <v>948</v>
      </c>
      <c r="B358" s="17" t="s">
        <v>831</v>
      </c>
      <c r="C358" s="17" t="s">
        <v>161</v>
      </c>
      <c r="D358" s="17">
        <v>4</v>
      </c>
      <c r="E358" s="17" t="s">
        <v>445</v>
      </c>
      <c r="F358" s="17" t="s">
        <v>470</v>
      </c>
      <c r="G358" s="17" t="s">
        <v>180</v>
      </c>
      <c r="H358" s="17" t="s">
        <v>828</v>
      </c>
      <c r="I358" s="17">
        <v>4</v>
      </c>
      <c r="J358" s="18">
        <f t="shared" si="10"/>
        <v>0</v>
      </c>
      <c r="K358" s="18">
        <f t="shared" si="11"/>
        <v>7</v>
      </c>
      <c r="L358" s="20">
        <f>IF(H358="Shipped",'Capacity &amp; Cost Dashboard'!D27+'Capacity &amp; Cost Dashboard'!D28*D358*INDEX('Capacity &amp; Cost Dashboard'!$C$31:$C$38,MATCH(INDEX(Products!$C$2:$C$31,MATCH(C358,Products!$A$2:$A$31,0)),'Capacity &amp; Cost Dashboard'!$B$31:$B$38,0)),0)</f>
        <v>13.4</v>
      </c>
    </row>
    <row r="359" spans="1:12" ht="18" x14ac:dyDescent="0.2">
      <c r="A359" s="17">
        <v>949</v>
      </c>
      <c r="B359" s="17" t="s">
        <v>854</v>
      </c>
      <c r="C359" s="17" t="s">
        <v>130</v>
      </c>
      <c r="D359" s="17">
        <v>8</v>
      </c>
      <c r="E359" s="17" t="s">
        <v>454</v>
      </c>
      <c r="F359" s="17" t="s">
        <v>473</v>
      </c>
      <c r="G359" s="17" t="s">
        <v>473</v>
      </c>
      <c r="H359" s="17" t="s">
        <v>828</v>
      </c>
      <c r="I359" s="17">
        <v>5</v>
      </c>
      <c r="J359" s="18">
        <f t="shared" si="10"/>
        <v>0</v>
      </c>
      <c r="K359" s="18">
        <f t="shared" si="11"/>
        <v>7</v>
      </c>
      <c r="L359" s="20">
        <f>IF(H359="Shipped",'Capacity &amp; Cost Dashboard'!D27+'Capacity &amp; Cost Dashboard'!D28*D359*INDEX('Capacity &amp; Cost Dashboard'!$C$31:$C$38,MATCH(INDEX(Products!$C$2:$C$31,MATCH(C359,Products!$A$2:$A$31,0)),'Capacity &amp; Cost Dashboard'!$B$31:$B$38,0)),0)</f>
        <v>15.2</v>
      </c>
    </row>
    <row r="360" spans="1:12" ht="18" x14ac:dyDescent="0.2">
      <c r="A360" s="17">
        <v>950</v>
      </c>
      <c r="B360" s="17" t="s">
        <v>855</v>
      </c>
      <c r="C360" s="17" t="s">
        <v>154</v>
      </c>
      <c r="D360" s="17">
        <v>4</v>
      </c>
      <c r="E360" s="17" t="s">
        <v>454</v>
      </c>
      <c r="F360" s="17" t="s">
        <v>473</v>
      </c>
      <c r="G360" s="17" t="s">
        <v>473</v>
      </c>
      <c r="H360" s="17" t="s">
        <v>828</v>
      </c>
      <c r="I360" s="17">
        <v>5</v>
      </c>
      <c r="J360" s="18">
        <f t="shared" si="10"/>
        <v>0</v>
      </c>
      <c r="K360" s="18">
        <f t="shared" si="11"/>
        <v>7</v>
      </c>
      <c r="L360" s="20">
        <f>IF(H360="Shipped",'Capacity &amp; Cost Dashboard'!D27+'Capacity &amp; Cost Dashboard'!D28*D360*INDEX('Capacity &amp; Cost Dashboard'!$C$31:$C$38,MATCH(INDEX(Products!$C$2:$C$31,MATCH(C360,Products!$A$2:$A$31,0)),'Capacity &amp; Cost Dashboard'!$B$31:$B$38,0)),0)</f>
        <v>10.7</v>
      </c>
    </row>
    <row r="361" spans="1:12" ht="18" x14ac:dyDescent="0.2">
      <c r="A361" s="17">
        <v>951</v>
      </c>
      <c r="B361" s="17" t="s">
        <v>842</v>
      </c>
      <c r="C361" s="17" t="s">
        <v>141</v>
      </c>
      <c r="D361" s="17">
        <v>9</v>
      </c>
      <c r="E361" s="17" t="s">
        <v>413</v>
      </c>
      <c r="F361" s="17" t="s">
        <v>467</v>
      </c>
      <c r="G361" s="17" t="s">
        <v>470</v>
      </c>
      <c r="H361" s="17" t="s">
        <v>828</v>
      </c>
      <c r="I361" s="17">
        <v>5</v>
      </c>
      <c r="J361" s="18">
        <f t="shared" si="10"/>
        <v>0</v>
      </c>
      <c r="K361" s="18">
        <f t="shared" si="11"/>
        <v>7</v>
      </c>
      <c r="L361" s="20">
        <f>IF(H361="Shipped",'Capacity &amp; Cost Dashboard'!D27+'Capacity &amp; Cost Dashboard'!D28*D361*INDEX('Capacity &amp; Cost Dashboard'!$C$31:$C$38,MATCH(INDEX(Products!$C$2:$C$31,MATCH(C361,Products!$A$2:$A$31,0)),'Capacity &amp; Cost Dashboard'!$B$31:$B$38,0)),0)</f>
        <v>9.2149999999999999</v>
      </c>
    </row>
    <row r="362" spans="1:12" ht="18" x14ac:dyDescent="0.2">
      <c r="A362" s="17">
        <v>952</v>
      </c>
      <c r="B362" s="17" t="s">
        <v>829</v>
      </c>
      <c r="C362" s="17" t="s">
        <v>98</v>
      </c>
      <c r="D362" s="17">
        <v>1</v>
      </c>
      <c r="E362" s="17" t="s">
        <v>179</v>
      </c>
      <c r="F362" s="17" t="s">
        <v>473</v>
      </c>
      <c r="G362" s="17" t="s">
        <v>473</v>
      </c>
      <c r="H362" s="17" t="s">
        <v>828</v>
      </c>
      <c r="I362" s="17">
        <v>5</v>
      </c>
      <c r="J362" s="18">
        <f t="shared" si="10"/>
        <v>0</v>
      </c>
      <c r="K362" s="18">
        <f t="shared" si="11"/>
        <v>7</v>
      </c>
      <c r="L362" s="20" t="e">
        <f>IF(H362="Shipped",'Capacity &amp; Cost Dashboard'!D27+'Capacity &amp; Cost Dashboard'!D28*D362*INDEX('Capacity &amp; Cost Dashboard'!$C$31:$C$38,MATCH(INDEX(Products!$C$2:$C$31,MATCH(C362,Products!$A$2:$A$31,0)),'Capacity &amp; Cost Dashboard'!$B$31:$B$38,0)),0)</f>
        <v>#N/A</v>
      </c>
    </row>
    <row r="363" spans="1:12" ht="18" x14ac:dyDescent="0.2">
      <c r="A363" s="17">
        <v>953</v>
      </c>
      <c r="B363" s="17" t="s">
        <v>835</v>
      </c>
      <c r="C363" s="17" t="s">
        <v>127</v>
      </c>
      <c r="D363" s="17">
        <v>7</v>
      </c>
      <c r="E363" s="17" t="s">
        <v>454</v>
      </c>
      <c r="F363" s="17" t="s">
        <v>442</v>
      </c>
      <c r="G363" s="17" t="s">
        <v>473</v>
      </c>
      <c r="H363" s="17" t="s">
        <v>828</v>
      </c>
      <c r="I363" s="17">
        <v>4</v>
      </c>
      <c r="J363" s="18">
        <f t="shared" si="10"/>
        <v>0</v>
      </c>
      <c r="K363" s="18">
        <f t="shared" si="11"/>
        <v>7</v>
      </c>
      <c r="L363" s="20">
        <f>IF(H363="Shipped",'Capacity &amp; Cost Dashboard'!D27+'Capacity &amp; Cost Dashboard'!D28*D363*INDEX('Capacity &amp; Cost Dashboard'!$C$31:$C$38,MATCH(INDEX(Products!$C$2:$C$31,MATCH(C363,Products!$A$2:$A$31,0)),'Capacity &amp; Cost Dashboard'!$B$31:$B$38,0)),0)</f>
        <v>14.3</v>
      </c>
    </row>
    <row r="364" spans="1:12" ht="18" x14ac:dyDescent="0.2">
      <c r="A364" s="17">
        <v>954</v>
      </c>
      <c r="B364" s="17" t="s">
        <v>841</v>
      </c>
      <c r="C364" s="17" t="s">
        <v>132</v>
      </c>
      <c r="D364" s="17">
        <v>3</v>
      </c>
      <c r="E364" s="17" t="s">
        <v>179</v>
      </c>
      <c r="F364" s="17" t="s">
        <v>473</v>
      </c>
      <c r="G364" s="17" t="s">
        <v>473</v>
      </c>
      <c r="H364" s="17" t="s">
        <v>828</v>
      </c>
      <c r="I364" s="17">
        <v>5</v>
      </c>
      <c r="J364" s="18">
        <f t="shared" si="10"/>
        <v>0</v>
      </c>
      <c r="K364" s="18">
        <f t="shared" si="11"/>
        <v>7</v>
      </c>
      <c r="L364" s="20">
        <f>IF(H364="Shipped",'Capacity &amp; Cost Dashboard'!D27+'Capacity &amp; Cost Dashboard'!D28*D364*INDEX('Capacity &amp; Cost Dashboard'!$C$31:$C$38,MATCH(INDEX(Products!$C$2:$C$31,MATCH(C364,Products!$A$2:$A$31,0)),'Capacity &amp; Cost Dashboard'!$B$31:$B$38,0)),0)</f>
        <v>10.7</v>
      </c>
    </row>
    <row r="365" spans="1:12" ht="18" x14ac:dyDescent="0.2">
      <c r="A365" s="17">
        <v>955</v>
      </c>
      <c r="B365" s="17" t="s">
        <v>826</v>
      </c>
      <c r="C365" s="17" t="s">
        <v>147</v>
      </c>
      <c r="D365" s="17">
        <v>18</v>
      </c>
      <c r="E365" s="17" t="s">
        <v>424</v>
      </c>
      <c r="F365" s="17" t="s">
        <v>473</v>
      </c>
      <c r="G365" s="17" t="s">
        <v>413</v>
      </c>
      <c r="H365" s="17" t="s">
        <v>828</v>
      </c>
      <c r="I365" s="17">
        <v>5</v>
      </c>
      <c r="J365" s="18">
        <f t="shared" si="10"/>
        <v>0</v>
      </c>
      <c r="K365" s="18">
        <f t="shared" si="11"/>
        <v>7</v>
      </c>
      <c r="L365" s="20">
        <f>IF(H365="Shipped",'Capacity &amp; Cost Dashboard'!D27+'Capacity &amp; Cost Dashboard'!D28*D365*INDEX('Capacity &amp; Cost Dashboard'!$C$31:$C$38,MATCH(INDEX(Products!$C$2:$C$31,MATCH(C365,Products!$A$2:$A$31,0)),'Capacity &amp; Cost Dashboard'!$B$31:$B$38,0)),0)</f>
        <v>10.43</v>
      </c>
    </row>
    <row r="366" spans="1:12" ht="18" x14ac:dyDescent="0.2">
      <c r="A366" s="17">
        <v>956</v>
      </c>
      <c r="B366" s="17" t="s">
        <v>836</v>
      </c>
      <c r="C366" s="17" t="s">
        <v>134</v>
      </c>
      <c r="D366" s="17">
        <v>3</v>
      </c>
      <c r="E366" s="17" t="s">
        <v>454</v>
      </c>
      <c r="F366" s="17" t="s">
        <v>442</v>
      </c>
      <c r="G366" s="17" t="s">
        <v>480</v>
      </c>
      <c r="H366" s="17" t="s">
        <v>828</v>
      </c>
      <c r="I366" s="17">
        <v>3</v>
      </c>
      <c r="J366" s="18">
        <f t="shared" si="10"/>
        <v>1</v>
      </c>
      <c r="K366" s="18">
        <f t="shared" si="11"/>
        <v>7</v>
      </c>
      <c r="L366" s="20">
        <f>IF(H366="Shipped",'Capacity &amp; Cost Dashboard'!D27+'Capacity &amp; Cost Dashboard'!D28*D366*INDEX('Capacity &amp; Cost Dashboard'!$C$31:$C$38,MATCH(INDEX(Products!$C$2:$C$31,MATCH(C366,Products!$A$2:$A$31,0)),'Capacity &amp; Cost Dashboard'!$B$31:$B$38,0)),0)</f>
        <v>10.7</v>
      </c>
    </row>
    <row r="367" spans="1:12" ht="18" x14ac:dyDescent="0.2">
      <c r="A367" s="17">
        <v>957</v>
      </c>
      <c r="B367" s="17" t="s">
        <v>826</v>
      </c>
      <c r="C367" s="17" t="s">
        <v>139</v>
      </c>
      <c r="D367" s="17">
        <v>16</v>
      </c>
      <c r="E367" s="17" t="s">
        <v>413</v>
      </c>
      <c r="F367" s="17" t="s">
        <v>470</v>
      </c>
      <c r="G367" s="17" t="s">
        <v>470</v>
      </c>
      <c r="H367" s="17" t="s">
        <v>828</v>
      </c>
      <c r="I367" s="17">
        <v>4</v>
      </c>
      <c r="J367" s="18">
        <f t="shared" si="10"/>
        <v>0</v>
      </c>
      <c r="K367" s="18">
        <f t="shared" si="11"/>
        <v>7</v>
      </c>
      <c r="L367" s="20">
        <f>IF(H367="Shipped",'Capacity &amp; Cost Dashboard'!D27+'Capacity &amp; Cost Dashboard'!D28*D367*INDEX('Capacity &amp; Cost Dashboard'!$C$31:$C$38,MATCH(INDEX(Products!$C$2:$C$31,MATCH(C367,Products!$A$2:$A$31,0)),'Capacity &amp; Cost Dashboard'!$B$31:$B$38,0)),0)</f>
        <v>10.16</v>
      </c>
    </row>
    <row r="368" spans="1:12" ht="18" x14ac:dyDescent="0.2">
      <c r="A368" s="17">
        <v>958</v>
      </c>
      <c r="B368" s="17" t="s">
        <v>852</v>
      </c>
      <c r="C368" s="17" t="s">
        <v>139</v>
      </c>
      <c r="D368" s="17">
        <v>20</v>
      </c>
      <c r="E368" s="17" t="s">
        <v>413</v>
      </c>
      <c r="F368" s="17" t="s">
        <v>467</v>
      </c>
      <c r="G368" s="17" t="s">
        <v>470</v>
      </c>
      <c r="H368" s="17" t="s">
        <v>828</v>
      </c>
      <c r="I368" s="17">
        <v>5</v>
      </c>
      <c r="J368" s="18">
        <f t="shared" si="10"/>
        <v>0</v>
      </c>
      <c r="K368" s="18">
        <f t="shared" si="11"/>
        <v>7</v>
      </c>
      <c r="L368" s="20">
        <f>IF(H368="Shipped",'Capacity &amp; Cost Dashboard'!D27+'Capacity &amp; Cost Dashboard'!D28*D368*INDEX('Capacity &amp; Cost Dashboard'!$C$31:$C$38,MATCH(INDEX(Products!$C$2:$C$31,MATCH(C368,Products!$A$2:$A$31,0)),'Capacity &amp; Cost Dashboard'!$B$31:$B$38,0)),0)</f>
        <v>10.7</v>
      </c>
    </row>
    <row r="369" spans="1:12" ht="18" x14ac:dyDescent="0.2">
      <c r="A369" s="17">
        <v>959</v>
      </c>
      <c r="B369" s="17" t="s">
        <v>836</v>
      </c>
      <c r="C369" s="17" t="s">
        <v>95</v>
      </c>
      <c r="D369" s="17">
        <v>30</v>
      </c>
      <c r="E369" s="17" t="s">
        <v>445</v>
      </c>
      <c r="F369" s="17" t="s">
        <v>470</v>
      </c>
      <c r="G369" s="17" t="s">
        <v>480</v>
      </c>
      <c r="H369" s="17" t="s">
        <v>828</v>
      </c>
      <c r="I369" s="17">
        <v>2</v>
      </c>
      <c r="J369" s="18">
        <f t="shared" si="10"/>
        <v>1</v>
      </c>
      <c r="K369" s="18">
        <f t="shared" si="11"/>
        <v>7</v>
      </c>
      <c r="L369" s="20" t="e">
        <f>IF(H369="Shipped",'Capacity &amp; Cost Dashboard'!D27+'Capacity &amp; Cost Dashboard'!D28*D369*INDEX('Capacity &amp; Cost Dashboard'!$C$31:$C$38,MATCH(INDEX(Products!$C$2:$C$31,MATCH(C369,Products!$A$2:$A$31,0)),'Capacity &amp; Cost Dashboard'!$B$31:$B$38,0)),0)</f>
        <v>#N/A</v>
      </c>
    </row>
    <row r="370" spans="1:12" ht="18" x14ac:dyDescent="0.2">
      <c r="A370" s="17">
        <v>960</v>
      </c>
      <c r="B370" s="17" t="s">
        <v>832</v>
      </c>
      <c r="C370" s="17" t="s">
        <v>123</v>
      </c>
      <c r="D370" s="17">
        <v>9</v>
      </c>
      <c r="E370" s="17" t="s">
        <v>454</v>
      </c>
      <c r="F370" s="17" t="s">
        <v>442</v>
      </c>
      <c r="G370" s="17" t="s">
        <v>442</v>
      </c>
      <c r="H370" s="17" t="s">
        <v>828</v>
      </c>
      <c r="I370" s="17">
        <v>5</v>
      </c>
      <c r="J370" s="18">
        <f t="shared" si="10"/>
        <v>0</v>
      </c>
      <c r="K370" s="18">
        <f t="shared" si="11"/>
        <v>7</v>
      </c>
      <c r="L370" s="20">
        <f>IF(H370="Shipped",'Capacity &amp; Cost Dashboard'!D27+'Capacity &amp; Cost Dashboard'!D28*D370*INDEX('Capacity &amp; Cost Dashboard'!$C$31:$C$38,MATCH(INDEX(Products!$C$2:$C$31,MATCH(C370,Products!$A$2:$A$31,0)),'Capacity &amp; Cost Dashboard'!$B$31:$B$38,0)),0)</f>
        <v>12.05</v>
      </c>
    </row>
    <row r="371" spans="1:12" ht="18" x14ac:dyDescent="0.2">
      <c r="A371" s="17">
        <v>961</v>
      </c>
      <c r="B371" s="17" t="s">
        <v>855</v>
      </c>
      <c r="C371" s="17" t="s">
        <v>143</v>
      </c>
      <c r="D371" s="17">
        <v>32</v>
      </c>
      <c r="E371" s="17" t="s">
        <v>413</v>
      </c>
      <c r="F371" s="17" t="s">
        <v>467</v>
      </c>
      <c r="G371" s="17" t="s">
        <v>467</v>
      </c>
      <c r="H371" s="17" t="s">
        <v>828</v>
      </c>
      <c r="I371" s="17">
        <v>4</v>
      </c>
      <c r="J371" s="18">
        <f t="shared" si="10"/>
        <v>0</v>
      </c>
      <c r="K371" s="18">
        <f t="shared" si="11"/>
        <v>7</v>
      </c>
      <c r="L371" s="20">
        <f>IF(H371="Shipped",'Capacity &amp; Cost Dashboard'!D27+'Capacity &amp; Cost Dashboard'!D28*D371*INDEX('Capacity &amp; Cost Dashboard'!$C$31:$C$38,MATCH(INDEX(Products!$C$2:$C$31,MATCH(C371,Products!$A$2:$A$31,0)),'Capacity &amp; Cost Dashboard'!$B$31:$B$38,0)),0)</f>
        <v>12.32</v>
      </c>
    </row>
    <row r="372" spans="1:12" ht="18" x14ac:dyDescent="0.2">
      <c r="A372" s="17">
        <v>962</v>
      </c>
      <c r="B372" s="17" t="s">
        <v>845</v>
      </c>
      <c r="C372" s="17" t="s">
        <v>102</v>
      </c>
      <c r="D372" s="17">
        <v>8</v>
      </c>
      <c r="E372" s="17" t="s">
        <v>179</v>
      </c>
      <c r="F372" s="17" t="s">
        <v>473</v>
      </c>
      <c r="G372" s="17" t="s">
        <v>473</v>
      </c>
      <c r="H372" s="17" t="s">
        <v>828</v>
      </c>
      <c r="I372" s="17">
        <v>4</v>
      </c>
      <c r="J372" s="18">
        <f t="shared" si="10"/>
        <v>0</v>
      </c>
      <c r="K372" s="18">
        <f t="shared" si="11"/>
        <v>7</v>
      </c>
      <c r="L372" s="20" t="e">
        <f>IF(H372="Shipped",'Capacity &amp; Cost Dashboard'!D27+'Capacity &amp; Cost Dashboard'!D28*D372*INDEX('Capacity &amp; Cost Dashboard'!$C$31:$C$38,MATCH(INDEX(Products!$C$2:$C$31,MATCH(C372,Products!$A$2:$A$31,0)),'Capacity &amp; Cost Dashboard'!$B$31:$B$38,0)),0)</f>
        <v>#N/A</v>
      </c>
    </row>
    <row r="373" spans="1:12" ht="18" x14ac:dyDescent="0.2">
      <c r="A373" s="17">
        <v>963</v>
      </c>
      <c r="B373" s="17" t="s">
        <v>838</v>
      </c>
      <c r="C373" s="17" t="s">
        <v>102</v>
      </c>
      <c r="D373" s="17">
        <v>3</v>
      </c>
      <c r="E373" s="17" t="s">
        <v>413</v>
      </c>
      <c r="F373" s="17" t="s">
        <v>467</v>
      </c>
      <c r="G373" s="17" t="s">
        <v>497</v>
      </c>
      <c r="H373" s="17" t="s">
        <v>828</v>
      </c>
      <c r="I373" s="17">
        <v>4</v>
      </c>
      <c r="J373" s="18">
        <f t="shared" si="10"/>
        <v>1</v>
      </c>
      <c r="K373" s="18">
        <f t="shared" si="11"/>
        <v>7</v>
      </c>
      <c r="L373" s="20" t="e">
        <f>IF(H373="Shipped",'Capacity &amp; Cost Dashboard'!D27+'Capacity &amp; Cost Dashboard'!D28*D373*INDEX('Capacity &amp; Cost Dashboard'!$C$31:$C$38,MATCH(INDEX(Products!$C$2:$C$31,MATCH(C373,Products!$A$2:$A$31,0)),'Capacity &amp; Cost Dashboard'!$B$31:$B$38,0)),0)</f>
        <v>#N/A</v>
      </c>
    </row>
    <row r="374" spans="1:12" ht="18" x14ac:dyDescent="0.2">
      <c r="A374" s="17">
        <v>964</v>
      </c>
      <c r="B374" s="17" t="s">
        <v>844</v>
      </c>
      <c r="C374" s="17" t="s">
        <v>104</v>
      </c>
      <c r="D374" s="17">
        <v>3</v>
      </c>
      <c r="E374" s="17" t="s">
        <v>413</v>
      </c>
      <c r="F374" s="17" t="s">
        <v>467</v>
      </c>
      <c r="G374" s="17" t="s">
        <v>470</v>
      </c>
      <c r="H374" s="17" t="s">
        <v>828</v>
      </c>
      <c r="I374" s="17">
        <v>5</v>
      </c>
      <c r="J374" s="18">
        <f t="shared" si="10"/>
        <v>0</v>
      </c>
      <c r="K374" s="18">
        <f t="shared" si="11"/>
        <v>7</v>
      </c>
      <c r="L374" s="20">
        <f>IF(H374="Shipped",'Capacity &amp; Cost Dashboard'!D27+'Capacity &amp; Cost Dashboard'!D28*D374*INDEX('Capacity &amp; Cost Dashboard'!$C$31:$C$38,MATCH(INDEX(Products!$C$2:$C$31,MATCH(C374,Products!$A$2:$A$31,0)),'Capacity &amp; Cost Dashboard'!$B$31:$B$38,0)),0)</f>
        <v>14.75</v>
      </c>
    </row>
    <row r="375" spans="1:12" ht="18" x14ac:dyDescent="0.2">
      <c r="A375" s="17">
        <v>965</v>
      </c>
      <c r="B375" s="17" t="s">
        <v>826</v>
      </c>
      <c r="C375" s="17" t="s">
        <v>141</v>
      </c>
      <c r="D375" s="17">
        <v>5</v>
      </c>
      <c r="E375" s="17" t="s">
        <v>179</v>
      </c>
      <c r="F375" s="17" t="s">
        <v>473</v>
      </c>
      <c r="G375" s="17" t="s">
        <v>473</v>
      </c>
      <c r="H375" s="17" t="s">
        <v>828</v>
      </c>
      <c r="I375" s="17">
        <v>5</v>
      </c>
      <c r="J375" s="18">
        <f t="shared" si="10"/>
        <v>0</v>
      </c>
      <c r="K375" s="18">
        <f t="shared" si="11"/>
        <v>7</v>
      </c>
      <c r="L375" s="20">
        <f>IF(H375="Shipped",'Capacity &amp; Cost Dashboard'!D27+'Capacity &amp; Cost Dashboard'!D28*D375*INDEX('Capacity &amp; Cost Dashboard'!$C$31:$C$38,MATCH(INDEX(Products!$C$2:$C$31,MATCH(C375,Products!$A$2:$A$31,0)),'Capacity &amp; Cost Dashboard'!$B$31:$B$38,0)),0)</f>
        <v>8.6750000000000007</v>
      </c>
    </row>
    <row r="376" spans="1:12" ht="18" x14ac:dyDescent="0.2">
      <c r="A376" s="17">
        <v>966</v>
      </c>
      <c r="B376" s="17" t="s">
        <v>848</v>
      </c>
      <c r="C376" s="17" t="s">
        <v>116</v>
      </c>
      <c r="D376" s="17">
        <v>1</v>
      </c>
      <c r="E376" s="17" t="s">
        <v>424</v>
      </c>
      <c r="F376" s="17" t="s">
        <v>473</v>
      </c>
      <c r="G376" s="17" t="s">
        <v>473</v>
      </c>
      <c r="H376" s="17" t="s">
        <v>828</v>
      </c>
      <c r="I376" s="17">
        <v>4</v>
      </c>
      <c r="J376" s="18">
        <f t="shared" si="10"/>
        <v>0</v>
      </c>
      <c r="K376" s="18">
        <f t="shared" si="11"/>
        <v>7</v>
      </c>
      <c r="L376" s="20">
        <f>IF(H376="Shipped",'Capacity &amp; Cost Dashboard'!D27+'Capacity &amp; Cost Dashboard'!D28*D376*INDEX('Capacity &amp; Cost Dashboard'!$C$31:$C$38,MATCH(INDEX(Products!$C$2:$C$31,MATCH(C376,Products!$A$2:$A$31,0)),'Capacity &amp; Cost Dashboard'!$B$31:$B$38,0)),0)</f>
        <v>8.9</v>
      </c>
    </row>
    <row r="377" spans="1:12" ht="18" x14ac:dyDescent="0.2">
      <c r="A377" s="17">
        <v>967</v>
      </c>
      <c r="B377" s="17" t="s">
        <v>847</v>
      </c>
      <c r="C377" s="17" t="s">
        <v>116</v>
      </c>
      <c r="D377" s="17">
        <v>3</v>
      </c>
      <c r="E377" s="17" t="s">
        <v>445</v>
      </c>
      <c r="F377" s="17" t="s">
        <v>470</v>
      </c>
      <c r="G377" s="17" t="s">
        <v>467</v>
      </c>
      <c r="H377" s="17" t="s">
        <v>828</v>
      </c>
      <c r="I377" s="17">
        <v>2</v>
      </c>
      <c r="J377" s="18">
        <f t="shared" si="10"/>
        <v>1</v>
      </c>
      <c r="K377" s="18">
        <f t="shared" si="11"/>
        <v>7</v>
      </c>
      <c r="L377" s="20">
        <f>IF(H377="Shipped",'Capacity &amp; Cost Dashboard'!D27+'Capacity &amp; Cost Dashboard'!D28*D377*INDEX('Capacity &amp; Cost Dashboard'!$C$31:$C$38,MATCH(INDEX(Products!$C$2:$C$31,MATCH(C377,Products!$A$2:$A$31,0)),'Capacity &amp; Cost Dashboard'!$B$31:$B$38,0)),0)</f>
        <v>10.7</v>
      </c>
    </row>
    <row r="378" spans="1:12" ht="18" x14ac:dyDescent="0.2">
      <c r="A378" s="17">
        <v>968</v>
      </c>
      <c r="B378" s="17" t="s">
        <v>833</v>
      </c>
      <c r="C378" s="17" t="s">
        <v>149</v>
      </c>
      <c r="D378" s="17">
        <v>1</v>
      </c>
      <c r="E378" s="17" t="s">
        <v>413</v>
      </c>
      <c r="F378" s="17" t="s">
        <v>180</v>
      </c>
      <c r="G378" s="17" t="s">
        <v>442</v>
      </c>
      <c r="H378" s="17" t="s">
        <v>828</v>
      </c>
      <c r="I378" s="17">
        <v>5</v>
      </c>
      <c r="J378" s="18">
        <f t="shared" si="10"/>
        <v>0</v>
      </c>
      <c r="K378" s="18">
        <f t="shared" si="11"/>
        <v>7</v>
      </c>
      <c r="L378" s="20">
        <f>IF(H378="Shipped",'Capacity &amp; Cost Dashboard'!D27+'Capacity &amp; Cost Dashboard'!D28*D378*INDEX('Capacity &amp; Cost Dashboard'!$C$31:$C$38,MATCH(INDEX(Products!$C$2:$C$31,MATCH(C378,Products!$A$2:$A$31,0)),'Capacity &amp; Cost Dashboard'!$B$31:$B$38,0)),0)</f>
        <v>8.6750000000000007</v>
      </c>
    </row>
    <row r="379" spans="1:12" ht="18" x14ac:dyDescent="0.2">
      <c r="A379" s="17">
        <v>969</v>
      </c>
      <c r="B379" s="17" t="s">
        <v>840</v>
      </c>
      <c r="C379" s="17" t="s">
        <v>116</v>
      </c>
      <c r="D379" s="17">
        <v>6</v>
      </c>
      <c r="E379" s="17" t="s">
        <v>180</v>
      </c>
      <c r="F379" s="17" t="s">
        <v>497</v>
      </c>
      <c r="G379" s="17" t="s">
        <v>494</v>
      </c>
      <c r="H379" s="17" t="s">
        <v>828</v>
      </c>
      <c r="I379" s="17">
        <v>3</v>
      </c>
      <c r="J379" s="18">
        <f t="shared" si="10"/>
        <v>1</v>
      </c>
      <c r="K379" s="18">
        <f t="shared" si="11"/>
        <v>8</v>
      </c>
      <c r="L379" s="20">
        <f>IF(H379="Shipped",'Capacity &amp; Cost Dashboard'!D27+'Capacity &amp; Cost Dashboard'!D28*D379*INDEX('Capacity &amp; Cost Dashboard'!$C$31:$C$38,MATCH(INDEX(Products!$C$2:$C$31,MATCH(C379,Products!$A$2:$A$31,0)),'Capacity &amp; Cost Dashboard'!$B$31:$B$38,0)),0)</f>
        <v>13.4</v>
      </c>
    </row>
    <row r="380" spans="1:12" ht="18" x14ac:dyDescent="0.2">
      <c r="A380" s="17">
        <v>970</v>
      </c>
      <c r="B380" s="17" t="s">
        <v>852</v>
      </c>
      <c r="C380" s="17" t="s">
        <v>132</v>
      </c>
      <c r="D380" s="17">
        <v>11</v>
      </c>
      <c r="E380" s="17" t="s">
        <v>470</v>
      </c>
      <c r="F380" s="17" t="s">
        <v>497</v>
      </c>
      <c r="G380" s="17" t="s">
        <v>498</v>
      </c>
      <c r="H380" s="17" t="s">
        <v>828</v>
      </c>
      <c r="I380" s="17">
        <v>5</v>
      </c>
      <c r="J380" s="18">
        <f t="shared" si="10"/>
        <v>0</v>
      </c>
      <c r="K380" s="18">
        <f t="shared" si="11"/>
        <v>8</v>
      </c>
      <c r="L380" s="20">
        <f>IF(H380="Shipped",'Capacity &amp; Cost Dashboard'!D27+'Capacity &amp; Cost Dashboard'!D28*D380*INDEX('Capacity &amp; Cost Dashboard'!$C$31:$C$38,MATCH(INDEX(Products!$C$2:$C$31,MATCH(C380,Products!$A$2:$A$31,0)),'Capacity &amp; Cost Dashboard'!$B$31:$B$38,0)),0)</f>
        <v>17.899999999999999</v>
      </c>
    </row>
    <row r="381" spans="1:12" ht="18" x14ac:dyDescent="0.2">
      <c r="A381" s="17">
        <v>971</v>
      </c>
      <c r="B381" s="17" t="s">
        <v>845</v>
      </c>
      <c r="C381" s="17" t="s">
        <v>134</v>
      </c>
      <c r="D381" s="17">
        <v>7</v>
      </c>
      <c r="E381" s="17" t="s">
        <v>498</v>
      </c>
      <c r="F381" s="17" t="s">
        <v>501</v>
      </c>
      <c r="G381" s="17" t="s">
        <v>501</v>
      </c>
      <c r="H381" s="17" t="s">
        <v>828</v>
      </c>
      <c r="I381" s="17">
        <v>5</v>
      </c>
      <c r="J381" s="18">
        <f t="shared" si="10"/>
        <v>0</v>
      </c>
      <c r="K381" s="18">
        <f t="shared" si="11"/>
        <v>8</v>
      </c>
      <c r="L381" s="20">
        <f>IF(H381="Shipped",'Capacity &amp; Cost Dashboard'!D27+'Capacity &amp; Cost Dashboard'!D28*D381*INDEX('Capacity &amp; Cost Dashboard'!$C$31:$C$38,MATCH(INDEX(Products!$C$2:$C$31,MATCH(C381,Products!$A$2:$A$31,0)),'Capacity &amp; Cost Dashboard'!$B$31:$B$38,0)),0)</f>
        <v>14.3</v>
      </c>
    </row>
    <row r="382" spans="1:12" ht="18" x14ac:dyDescent="0.2">
      <c r="A382" s="17">
        <v>972</v>
      </c>
      <c r="B382" s="17" t="s">
        <v>826</v>
      </c>
      <c r="C382" s="17" t="s">
        <v>123</v>
      </c>
      <c r="D382" s="17">
        <v>10</v>
      </c>
      <c r="E382" s="17" t="s">
        <v>467</v>
      </c>
      <c r="F382" s="17" t="s">
        <v>181</v>
      </c>
      <c r="G382" s="17" t="s">
        <v>181</v>
      </c>
      <c r="H382" s="17" t="s">
        <v>828</v>
      </c>
      <c r="I382" s="17">
        <v>5</v>
      </c>
      <c r="J382" s="18">
        <f t="shared" si="10"/>
        <v>0</v>
      </c>
      <c r="K382" s="18">
        <f t="shared" si="11"/>
        <v>8</v>
      </c>
      <c r="L382" s="20">
        <f>IF(H382="Shipped",'Capacity &amp; Cost Dashboard'!D27+'Capacity &amp; Cost Dashboard'!D28*D382*INDEX('Capacity &amp; Cost Dashboard'!$C$31:$C$38,MATCH(INDEX(Products!$C$2:$C$31,MATCH(C382,Products!$A$2:$A$31,0)),'Capacity &amp; Cost Dashboard'!$B$31:$B$38,0)),0)</f>
        <v>12.5</v>
      </c>
    </row>
    <row r="383" spans="1:12" ht="18" x14ac:dyDescent="0.2">
      <c r="A383" s="17">
        <v>973</v>
      </c>
      <c r="B383" s="17" t="s">
        <v>840</v>
      </c>
      <c r="C383" s="17" t="s">
        <v>152</v>
      </c>
      <c r="D383" s="17">
        <v>10</v>
      </c>
      <c r="E383" s="17" t="s">
        <v>467</v>
      </c>
      <c r="F383" s="17" t="s">
        <v>181</v>
      </c>
      <c r="G383" s="17" t="s">
        <v>181</v>
      </c>
      <c r="H383" s="17" t="s">
        <v>828</v>
      </c>
      <c r="I383" s="17">
        <v>4</v>
      </c>
      <c r="J383" s="18">
        <f t="shared" si="10"/>
        <v>0</v>
      </c>
      <c r="K383" s="18">
        <f t="shared" si="11"/>
        <v>8</v>
      </c>
      <c r="L383" s="20">
        <f>IF(H383="Shipped",'Capacity &amp; Cost Dashboard'!D27+'Capacity &amp; Cost Dashboard'!D28*D383*INDEX('Capacity &amp; Cost Dashboard'!$C$31:$C$38,MATCH(INDEX(Products!$C$2:$C$31,MATCH(C383,Products!$A$2:$A$31,0)),'Capacity &amp; Cost Dashboard'!$B$31:$B$38,0)),0)</f>
        <v>14.75</v>
      </c>
    </row>
    <row r="384" spans="1:12" ht="18" x14ac:dyDescent="0.2">
      <c r="A384" s="17">
        <v>974</v>
      </c>
      <c r="B384" s="17" t="s">
        <v>838</v>
      </c>
      <c r="C384" s="17" t="s">
        <v>132</v>
      </c>
      <c r="D384" s="17">
        <v>6</v>
      </c>
      <c r="E384" s="17" t="s">
        <v>498</v>
      </c>
      <c r="F384" s="17" t="s">
        <v>181</v>
      </c>
      <c r="G384" s="17" t="s">
        <v>181</v>
      </c>
      <c r="H384" s="17" t="s">
        <v>828</v>
      </c>
      <c r="I384" s="17">
        <v>4</v>
      </c>
      <c r="J384" s="18">
        <f t="shared" si="10"/>
        <v>0</v>
      </c>
      <c r="K384" s="18">
        <f t="shared" si="11"/>
        <v>8</v>
      </c>
      <c r="L384" s="20">
        <f>IF(H384="Shipped",'Capacity &amp; Cost Dashboard'!D27+'Capacity &amp; Cost Dashboard'!D28*D384*INDEX('Capacity &amp; Cost Dashboard'!$C$31:$C$38,MATCH(INDEX(Products!$C$2:$C$31,MATCH(C384,Products!$A$2:$A$31,0)),'Capacity &amp; Cost Dashboard'!$B$31:$B$38,0)),0)</f>
        <v>13.4</v>
      </c>
    </row>
    <row r="385" spans="1:12" ht="18" x14ac:dyDescent="0.2">
      <c r="A385" s="17">
        <v>975</v>
      </c>
      <c r="B385" s="17" t="s">
        <v>835</v>
      </c>
      <c r="C385" s="17" t="s">
        <v>147</v>
      </c>
      <c r="D385" s="17">
        <v>27</v>
      </c>
      <c r="E385" s="17" t="s">
        <v>498</v>
      </c>
      <c r="F385" s="17" t="s">
        <v>501</v>
      </c>
      <c r="G385" s="17" t="s">
        <v>182</v>
      </c>
      <c r="H385" s="17" t="s">
        <v>828</v>
      </c>
      <c r="I385" s="17">
        <v>4</v>
      </c>
      <c r="J385" s="18">
        <f t="shared" si="10"/>
        <v>1</v>
      </c>
      <c r="K385" s="18">
        <f t="shared" si="11"/>
        <v>8</v>
      </c>
      <c r="L385" s="20">
        <f>IF(H385="Shipped",'Capacity &amp; Cost Dashboard'!D27+'Capacity &amp; Cost Dashboard'!D28*D385*INDEX('Capacity &amp; Cost Dashboard'!$C$31:$C$38,MATCH(INDEX(Products!$C$2:$C$31,MATCH(C385,Products!$A$2:$A$31,0)),'Capacity &amp; Cost Dashboard'!$B$31:$B$38,0)),0)</f>
        <v>11.645</v>
      </c>
    </row>
    <row r="386" spans="1:12" ht="18" x14ac:dyDescent="0.2">
      <c r="A386" s="17">
        <v>976</v>
      </c>
      <c r="B386" s="17" t="s">
        <v>831</v>
      </c>
      <c r="C386" s="17" t="s">
        <v>152</v>
      </c>
      <c r="D386" s="17">
        <v>8</v>
      </c>
      <c r="E386" s="17" t="s">
        <v>498</v>
      </c>
      <c r="F386" s="17" t="s">
        <v>501</v>
      </c>
      <c r="G386" s="17" t="s">
        <v>501</v>
      </c>
      <c r="H386" s="17" t="s">
        <v>828</v>
      </c>
      <c r="I386" s="17">
        <v>5</v>
      </c>
      <c r="J386" s="18">
        <f t="shared" ref="J386:J449" si="12">IF(H386="Shipped",IF(G386&gt;F386,1,0),"")</f>
        <v>0</v>
      </c>
      <c r="K386" s="18">
        <f t="shared" ref="K386:K449" si="13">INT((DATEVALUE(E386)-DATE(2026,4,6))/7)</f>
        <v>8</v>
      </c>
      <c r="L386" s="20">
        <f>IF(H386="Shipped",'Capacity &amp; Cost Dashboard'!D27+'Capacity &amp; Cost Dashboard'!D28*D386*INDEX('Capacity &amp; Cost Dashboard'!$C$31:$C$38,MATCH(INDEX(Products!$C$2:$C$31,MATCH(C386,Products!$A$2:$A$31,0)),'Capacity &amp; Cost Dashboard'!$B$31:$B$38,0)),0)</f>
        <v>13.4</v>
      </c>
    </row>
    <row r="387" spans="1:12" ht="18" x14ac:dyDescent="0.2">
      <c r="A387" s="17">
        <v>977</v>
      </c>
      <c r="B387" s="17" t="s">
        <v>857</v>
      </c>
      <c r="C387" s="17" t="s">
        <v>102</v>
      </c>
      <c r="D387" s="17">
        <v>3</v>
      </c>
      <c r="E387" s="17" t="s">
        <v>498</v>
      </c>
      <c r="F387" s="17" t="s">
        <v>181</v>
      </c>
      <c r="G387" s="17" t="s">
        <v>525</v>
      </c>
      <c r="H387" s="17" t="s">
        <v>828</v>
      </c>
      <c r="I387" s="17">
        <v>3</v>
      </c>
      <c r="J387" s="18">
        <f t="shared" si="12"/>
        <v>1</v>
      </c>
      <c r="K387" s="18">
        <f t="shared" si="13"/>
        <v>8</v>
      </c>
      <c r="L387" s="20" t="e">
        <f>IF(H387="Shipped",'Capacity &amp; Cost Dashboard'!D27+'Capacity &amp; Cost Dashboard'!D28*D387*INDEX('Capacity &amp; Cost Dashboard'!$C$31:$C$38,MATCH(INDEX(Products!$C$2:$C$31,MATCH(C387,Products!$A$2:$A$31,0)),'Capacity &amp; Cost Dashboard'!$B$31:$B$38,0)),0)</f>
        <v>#N/A</v>
      </c>
    </row>
    <row r="388" spans="1:12" ht="18" x14ac:dyDescent="0.2">
      <c r="A388" s="17">
        <v>978</v>
      </c>
      <c r="B388" s="17" t="s">
        <v>839</v>
      </c>
      <c r="C388" s="17" t="s">
        <v>145</v>
      </c>
      <c r="D388" s="17">
        <v>19</v>
      </c>
      <c r="E388" s="17" t="s">
        <v>467</v>
      </c>
      <c r="F388" s="17" t="s">
        <v>497</v>
      </c>
      <c r="G388" s="17" t="s">
        <v>181</v>
      </c>
      <c r="H388" s="17" t="s">
        <v>828</v>
      </c>
      <c r="I388" s="17">
        <v>2</v>
      </c>
      <c r="J388" s="18">
        <f t="shared" si="12"/>
        <v>1</v>
      </c>
      <c r="K388" s="18">
        <f t="shared" si="13"/>
        <v>8</v>
      </c>
      <c r="L388" s="20">
        <f>IF(H388="Shipped",'Capacity &amp; Cost Dashboard'!D27+'Capacity &amp; Cost Dashboard'!D28*D388*INDEX('Capacity &amp; Cost Dashboard'!$C$31:$C$38,MATCH(INDEX(Products!$C$2:$C$31,MATCH(C388,Products!$A$2:$A$31,0)),'Capacity &amp; Cost Dashboard'!$B$31:$B$38,0)),0)</f>
        <v>10.565</v>
      </c>
    </row>
    <row r="389" spans="1:12" ht="18" x14ac:dyDescent="0.2">
      <c r="A389" s="17">
        <v>979</v>
      </c>
      <c r="B389" s="17" t="s">
        <v>829</v>
      </c>
      <c r="C389" s="17" t="s">
        <v>132</v>
      </c>
      <c r="D389" s="17">
        <v>12</v>
      </c>
      <c r="E389" s="17" t="s">
        <v>480</v>
      </c>
      <c r="F389" s="17" t="s">
        <v>517</v>
      </c>
      <c r="G389" s="17" t="s">
        <v>517</v>
      </c>
      <c r="H389" s="17" t="s">
        <v>828</v>
      </c>
      <c r="I389" s="17">
        <v>4</v>
      </c>
      <c r="J389" s="18">
        <f t="shared" si="12"/>
        <v>0</v>
      </c>
      <c r="K389" s="18">
        <f t="shared" si="13"/>
        <v>8</v>
      </c>
      <c r="L389" s="20">
        <f>IF(H389="Shipped",'Capacity &amp; Cost Dashboard'!D27+'Capacity &amp; Cost Dashboard'!D28*D389*INDEX('Capacity &amp; Cost Dashboard'!$C$31:$C$38,MATCH(INDEX(Products!$C$2:$C$31,MATCH(C389,Products!$A$2:$A$31,0)),'Capacity &amp; Cost Dashboard'!$B$31:$B$38,0)),0)</f>
        <v>18.8</v>
      </c>
    </row>
    <row r="390" spans="1:12" ht="18" x14ac:dyDescent="0.2">
      <c r="A390" s="17">
        <v>980</v>
      </c>
      <c r="B390" s="17" t="s">
        <v>829</v>
      </c>
      <c r="C390" s="17" t="s">
        <v>125</v>
      </c>
      <c r="D390" s="17">
        <v>9</v>
      </c>
      <c r="E390" s="17" t="s">
        <v>467</v>
      </c>
      <c r="F390" s="17" t="s">
        <v>181</v>
      </c>
      <c r="G390" s="17" t="s">
        <v>181</v>
      </c>
      <c r="H390" s="17" t="s">
        <v>828</v>
      </c>
      <c r="I390" s="17">
        <v>5</v>
      </c>
      <c r="J390" s="18">
        <f t="shared" si="12"/>
        <v>0</v>
      </c>
      <c r="K390" s="18">
        <f t="shared" si="13"/>
        <v>8</v>
      </c>
      <c r="L390" s="20">
        <f>IF(H390="Shipped",'Capacity &amp; Cost Dashboard'!D27+'Capacity &amp; Cost Dashboard'!D28*D390*INDEX('Capacity &amp; Cost Dashboard'!$C$31:$C$38,MATCH(INDEX(Products!$C$2:$C$31,MATCH(C390,Products!$A$2:$A$31,0)),'Capacity &amp; Cost Dashboard'!$B$31:$B$38,0)),0)</f>
        <v>12.05</v>
      </c>
    </row>
    <row r="391" spans="1:12" ht="18" x14ac:dyDescent="0.2">
      <c r="A391" s="17">
        <v>981</v>
      </c>
      <c r="B391" s="17" t="s">
        <v>844</v>
      </c>
      <c r="C391" s="17" t="s">
        <v>123</v>
      </c>
      <c r="D391" s="17">
        <v>4</v>
      </c>
      <c r="E391" s="17" t="s">
        <v>498</v>
      </c>
      <c r="F391" s="17" t="s">
        <v>501</v>
      </c>
      <c r="G391" s="17" t="s">
        <v>501</v>
      </c>
      <c r="H391" s="17" t="s">
        <v>828</v>
      </c>
      <c r="I391" s="17">
        <v>4</v>
      </c>
      <c r="J391" s="18">
        <f t="shared" si="12"/>
        <v>0</v>
      </c>
      <c r="K391" s="18">
        <f t="shared" si="13"/>
        <v>8</v>
      </c>
      <c r="L391" s="20">
        <f>IF(H391="Shipped",'Capacity &amp; Cost Dashboard'!D27+'Capacity &amp; Cost Dashboard'!D28*D391*INDEX('Capacity &amp; Cost Dashboard'!$C$31:$C$38,MATCH(INDEX(Products!$C$2:$C$31,MATCH(C391,Products!$A$2:$A$31,0)),'Capacity &amp; Cost Dashboard'!$B$31:$B$38,0)),0)</f>
        <v>9.8000000000000007</v>
      </c>
    </row>
    <row r="392" spans="1:12" ht="18" x14ac:dyDescent="0.2">
      <c r="A392" s="17">
        <v>982</v>
      </c>
      <c r="B392" s="17" t="s">
        <v>857</v>
      </c>
      <c r="C392" s="17" t="s">
        <v>125</v>
      </c>
      <c r="D392" s="17">
        <v>12</v>
      </c>
      <c r="E392" s="17" t="s">
        <v>180</v>
      </c>
      <c r="F392" s="17" t="s">
        <v>497</v>
      </c>
      <c r="G392" s="17" t="s">
        <v>498</v>
      </c>
      <c r="H392" s="17" t="s">
        <v>828</v>
      </c>
      <c r="I392" s="17">
        <v>5</v>
      </c>
      <c r="J392" s="18">
        <f t="shared" si="12"/>
        <v>0</v>
      </c>
      <c r="K392" s="18">
        <f t="shared" si="13"/>
        <v>8</v>
      </c>
      <c r="L392" s="20">
        <f>IF(H392="Shipped",'Capacity &amp; Cost Dashboard'!D27+'Capacity &amp; Cost Dashboard'!D28*D392*INDEX('Capacity &amp; Cost Dashboard'!$C$31:$C$38,MATCH(INDEX(Products!$C$2:$C$31,MATCH(C392,Products!$A$2:$A$31,0)),'Capacity &amp; Cost Dashboard'!$B$31:$B$38,0)),0)</f>
        <v>13.4</v>
      </c>
    </row>
    <row r="393" spans="1:12" ht="18" x14ac:dyDescent="0.2">
      <c r="A393" s="17">
        <v>983</v>
      </c>
      <c r="B393" s="17" t="s">
        <v>849</v>
      </c>
      <c r="C393" s="17" t="s">
        <v>156</v>
      </c>
      <c r="D393" s="17">
        <v>7</v>
      </c>
      <c r="E393" s="17" t="s">
        <v>180</v>
      </c>
      <c r="F393" s="17" t="s">
        <v>498</v>
      </c>
      <c r="G393" s="17" t="s">
        <v>498</v>
      </c>
      <c r="H393" s="17" t="s">
        <v>828</v>
      </c>
      <c r="I393" s="17">
        <v>4</v>
      </c>
      <c r="J393" s="18">
        <f t="shared" si="12"/>
        <v>0</v>
      </c>
      <c r="K393" s="18">
        <f t="shared" si="13"/>
        <v>8</v>
      </c>
      <c r="L393" s="20">
        <f>IF(H393="Shipped",'Capacity &amp; Cost Dashboard'!D27+'Capacity &amp; Cost Dashboard'!D28*D393*INDEX('Capacity &amp; Cost Dashboard'!$C$31:$C$38,MATCH(INDEX(Products!$C$2:$C$31,MATCH(C393,Products!$A$2:$A$31,0)),'Capacity &amp; Cost Dashboard'!$B$31:$B$38,0)),0)</f>
        <v>17.45</v>
      </c>
    </row>
    <row r="394" spans="1:12" ht="18" x14ac:dyDescent="0.2">
      <c r="A394" s="17">
        <v>984</v>
      </c>
      <c r="B394" s="17" t="s">
        <v>844</v>
      </c>
      <c r="C394" s="17" t="s">
        <v>111</v>
      </c>
      <c r="D394" s="17">
        <v>28</v>
      </c>
      <c r="E394" s="17" t="s">
        <v>480</v>
      </c>
      <c r="F394" s="17" t="s">
        <v>517</v>
      </c>
      <c r="G394" s="17" t="s">
        <v>181</v>
      </c>
      <c r="H394" s="17" t="s">
        <v>828</v>
      </c>
      <c r="I394" s="17">
        <v>5</v>
      </c>
      <c r="J394" s="18">
        <f t="shared" si="12"/>
        <v>0</v>
      </c>
      <c r="K394" s="18">
        <f t="shared" si="13"/>
        <v>8</v>
      </c>
      <c r="L394" s="20">
        <f>IF(H394="Shipped",'Capacity &amp; Cost Dashboard'!D27+'Capacity &amp; Cost Dashboard'!D28*D394*INDEX('Capacity &amp; Cost Dashboard'!$C$31:$C$38,MATCH(INDEX(Products!$C$2:$C$31,MATCH(C394,Products!$A$2:$A$31,0)),'Capacity &amp; Cost Dashboard'!$B$31:$B$38,0)),0)</f>
        <v>71</v>
      </c>
    </row>
    <row r="395" spans="1:12" ht="18" x14ac:dyDescent="0.2">
      <c r="A395" s="17">
        <v>985</v>
      </c>
      <c r="B395" s="17" t="s">
        <v>830</v>
      </c>
      <c r="C395" s="17" t="s">
        <v>159</v>
      </c>
      <c r="D395" s="17">
        <v>6</v>
      </c>
      <c r="E395" s="17" t="s">
        <v>467</v>
      </c>
      <c r="F395" s="17" t="s">
        <v>181</v>
      </c>
      <c r="G395" s="17" t="s">
        <v>517</v>
      </c>
      <c r="H395" s="17" t="s">
        <v>828</v>
      </c>
      <c r="I395" s="17">
        <v>3</v>
      </c>
      <c r="J395" s="18">
        <f t="shared" si="12"/>
        <v>1</v>
      </c>
      <c r="K395" s="18">
        <f t="shared" si="13"/>
        <v>8</v>
      </c>
      <c r="L395" s="20">
        <f>IF(H395="Shipped",'Capacity &amp; Cost Dashboard'!D27+'Capacity &amp; Cost Dashboard'!D28*D395*INDEX('Capacity &amp; Cost Dashboard'!$C$31:$C$38,MATCH(INDEX(Products!$C$2:$C$31,MATCH(C395,Products!$A$2:$A$31,0)),'Capacity &amp; Cost Dashboard'!$B$31:$B$38,0)),0)</f>
        <v>16.100000000000001</v>
      </c>
    </row>
    <row r="396" spans="1:12" ht="18" x14ac:dyDescent="0.2">
      <c r="A396" s="17">
        <v>986</v>
      </c>
      <c r="B396" s="17" t="s">
        <v>854</v>
      </c>
      <c r="C396" s="17" t="s">
        <v>156</v>
      </c>
      <c r="D396" s="17">
        <v>8</v>
      </c>
      <c r="E396" s="17" t="s">
        <v>180</v>
      </c>
      <c r="F396" s="17" t="s">
        <v>498</v>
      </c>
      <c r="G396" s="17" t="s">
        <v>480</v>
      </c>
      <c r="H396" s="17" t="s">
        <v>828</v>
      </c>
      <c r="I396" s="17">
        <v>5</v>
      </c>
      <c r="J396" s="18">
        <f t="shared" si="12"/>
        <v>0</v>
      </c>
      <c r="K396" s="18">
        <f t="shared" si="13"/>
        <v>8</v>
      </c>
      <c r="L396" s="20">
        <f>IF(H396="Shipped",'Capacity &amp; Cost Dashboard'!D27+'Capacity &amp; Cost Dashboard'!D28*D396*INDEX('Capacity &amp; Cost Dashboard'!$C$31:$C$38,MATCH(INDEX(Products!$C$2:$C$31,MATCH(C396,Products!$A$2:$A$31,0)),'Capacity &amp; Cost Dashboard'!$B$31:$B$38,0)),0)</f>
        <v>18.8</v>
      </c>
    </row>
    <row r="397" spans="1:12" ht="18" x14ac:dyDescent="0.2">
      <c r="A397" s="17">
        <v>987</v>
      </c>
      <c r="B397" s="17" t="s">
        <v>836</v>
      </c>
      <c r="C397" s="17" t="s">
        <v>149</v>
      </c>
      <c r="D397" s="17">
        <v>6</v>
      </c>
      <c r="E397" s="17" t="s">
        <v>498</v>
      </c>
      <c r="F397" s="17" t="s">
        <v>517</v>
      </c>
      <c r="G397" s="17" t="s">
        <v>524</v>
      </c>
      <c r="H397" s="17" t="s">
        <v>828</v>
      </c>
      <c r="I397" s="17">
        <v>2</v>
      </c>
      <c r="J397" s="18">
        <f t="shared" si="12"/>
        <v>1</v>
      </c>
      <c r="K397" s="18">
        <f t="shared" si="13"/>
        <v>8</v>
      </c>
      <c r="L397" s="20">
        <f>IF(H397="Shipped",'Capacity &amp; Cost Dashboard'!D27+'Capacity &amp; Cost Dashboard'!D28*D397*INDEX('Capacity &amp; Cost Dashboard'!$C$31:$C$38,MATCH(INDEX(Products!$C$2:$C$31,MATCH(C397,Products!$A$2:$A$31,0)),'Capacity &amp; Cost Dashboard'!$B$31:$B$38,0)),0)</f>
        <v>12.05</v>
      </c>
    </row>
    <row r="398" spans="1:12" ht="18" x14ac:dyDescent="0.2">
      <c r="A398" s="17">
        <v>988</v>
      </c>
      <c r="B398" s="17" t="s">
        <v>842</v>
      </c>
      <c r="C398" s="17" t="s">
        <v>161</v>
      </c>
      <c r="D398" s="17">
        <v>5</v>
      </c>
      <c r="E398" s="17" t="s">
        <v>467</v>
      </c>
      <c r="F398" s="17" t="s">
        <v>491</v>
      </c>
      <c r="G398" s="17" t="s">
        <v>501</v>
      </c>
      <c r="H398" s="17" t="s">
        <v>828</v>
      </c>
      <c r="I398" s="17">
        <v>3</v>
      </c>
      <c r="J398" s="18">
        <f t="shared" si="12"/>
        <v>1</v>
      </c>
      <c r="K398" s="18">
        <f t="shared" si="13"/>
        <v>8</v>
      </c>
      <c r="L398" s="20">
        <f>IF(H398="Shipped",'Capacity &amp; Cost Dashboard'!D27+'Capacity &amp; Cost Dashboard'!D28*D398*INDEX('Capacity &amp; Cost Dashboard'!$C$31:$C$38,MATCH(INDEX(Products!$C$2:$C$31,MATCH(C398,Products!$A$2:$A$31,0)),'Capacity &amp; Cost Dashboard'!$B$31:$B$38,0)),0)</f>
        <v>14.75</v>
      </c>
    </row>
    <row r="399" spans="1:12" ht="18" x14ac:dyDescent="0.2">
      <c r="A399" s="17">
        <v>989</v>
      </c>
      <c r="B399" s="17" t="s">
        <v>845</v>
      </c>
      <c r="C399" s="17" t="s">
        <v>102</v>
      </c>
      <c r="D399" s="17">
        <v>5</v>
      </c>
      <c r="E399" s="17" t="s">
        <v>480</v>
      </c>
      <c r="F399" s="17" t="s">
        <v>517</v>
      </c>
      <c r="G399" s="17" t="s">
        <v>517</v>
      </c>
      <c r="H399" s="17" t="s">
        <v>828</v>
      </c>
      <c r="I399" s="17">
        <v>4</v>
      </c>
      <c r="J399" s="18">
        <f t="shared" si="12"/>
        <v>0</v>
      </c>
      <c r="K399" s="18">
        <f t="shared" si="13"/>
        <v>8</v>
      </c>
      <c r="L399" s="20" t="e">
        <f>IF(H399="Shipped",'Capacity &amp; Cost Dashboard'!D27+'Capacity &amp; Cost Dashboard'!D28*D399*INDEX('Capacity &amp; Cost Dashboard'!$C$31:$C$38,MATCH(INDEX(Products!$C$2:$C$31,MATCH(C399,Products!$A$2:$A$31,0)),'Capacity &amp; Cost Dashboard'!$B$31:$B$38,0)),0)</f>
        <v>#N/A</v>
      </c>
    </row>
    <row r="400" spans="1:12" ht="18" x14ac:dyDescent="0.2">
      <c r="A400" s="17">
        <v>990</v>
      </c>
      <c r="B400" s="17" t="s">
        <v>840</v>
      </c>
      <c r="C400" s="17" t="s">
        <v>125</v>
      </c>
      <c r="D400" s="17">
        <v>4</v>
      </c>
      <c r="E400" s="17" t="s">
        <v>180</v>
      </c>
      <c r="F400" s="17" t="s">
        <v>480</v>
      </c>
      <c r="G400" s="17" t="s">
        <v>480</v>
      </c>
      <c r="H400" s="17" t="s">
        <v>828</v>
      </c>
      <c r="I400" s="17">
        <v>5</v>
      </c>
      <c r="J400" s="18">
        <f t="shared" si="12"/>
        <v>0</v>
      </c>
      <c r="K400" s="18">
        <f t="shared" si="13"/>
        <v>8</v>
      </c>
      <c r="L400" s="20">
        <f>IF(H400="Shipped",'Capacity &amp; Cost Dashboard'!D27+'Capacity &amp; Cost Dashboard'!D28*D400*INDEX('Capacity &amp; Cost Dashboard'!$C$31:$C$38,MATCH(INDEX(Products!$C$2:$C$31,MATCH(C400,Products!$A$2:$A$31,0)),'Capacity &amp; Cost Dashboard'!$B$31:$B$38,0)),0)</f>
        <v>9.8000000000000007</v>
      </c>
    </row>
    <row r="401" spans="1:12" ht="18" x14ac:dyDescent="0.2">
      <c r="A401" s="17">
        <v>991</v>
      </c>
      <c r="B401" s="17" t="s">
        <v>839</v>
      </c>
      <c r="C401" s="17" t="s">
        <v>123</v>
      </c>
      <c r="D401" s="17">
        <v>9</v>
      </c>
      <c r="E401" s="17" t="s">
        <v>470</v>
      </c>
      <c r="F401" s="17" t="s">
        <v>497</v>
      </c>
      <c r="G401" s="17" t="s">
        <v>491</v>
      </c>
      <c r="H401" s="17" t="s">
        <v>828</v>
      </c>
      <c r="I401" s="17">
        <v>3</v>
      </c>
      <c r="J401" s="18">
        <f t="shared" si="12"/>
        <v>1</v>
      </c>
      <c r="K401" s="18">
        <f t="shared" si="13"/>
        <v>8</v>
      </c>
      <c r="L401" s="20">
        <f>IF(H401="Shipped",'Capacity &amp; Cost Dashboard'!D27+'Capacity &amp; Cost Dashboard'!D28*D401*INDEX('Capacity &amp; Cost Dashboard'!$C$31:$C$38,MATCH(INDEX(Products!$C$2:$C$31,MATCH(C401,Products!$A$2:$A$31,0)),'Capacity &amp; Cost Dashboard'!$B$31:$B$38,0)),0)</f>
        <v>12.05</v>
      </c>
    </row>
    <row r="402" spans="1:12" ht="18" x14ac:dyDescent="0.2">
      <c r="A402" s="17">
        <v>992</v>
      </c>
      <c r="B402" s="17" t="s">
        <v>857</v>
      </c>
      <c r="C402" s="17" t="s">
        <v>141</v>
      </c>
      <c r="D402" s="17">
        <v>12</v>
      </c>
      <c r="E402" s="17" t="s">
        <v>180</v>
      </c>
      <c r="F402" s="17" t="s">
        <v>480</v>
      </c>
      <c r="G402" s="17" t="s">
        <v>467</v>
      </c>
      <c r="H402" s="17" t="s">
        <v>828</v>
      </c>
      <c r="I402" s="17">
        <v>5</v>
      </c>
      <c r="J402" s="18">
        <f t="shared" si="12"/>
        <v>0</v>
      </c>
      <c r="K402" s="18">
        <f t="shared" si="13"/>
        <v>8</v>
      </c>
      <c r="L402" s="20">
        <f>IF(H402="Shipped",'Capacity &amp; Cost Dashboard'!D27+'Capacity &amp; Cost Dashboard'!D28*D402*INDEX('Capacity &amp; Cost Dashboard'!$C$31:$C$38,MATCH(INDEX(Products!$C$2:$C$31,MATCH(C402,Products!$A$2:$A$31,0)),'Capacity &amp; Cost Dashboard'!$B$31:$B$38,0)),0)</f>
        <v>9.620000000000001</v>
      </c>
    </row>
    <row r="403" spans="1:12" ht="18" x14ac:dyDescent="0.2">
      <c r="A403" s="17">
        <v>993</v>
      </c>
      <c r="B403" s="17" t="s">
        <v>842</v>
      </c>
      <c r="C403" s="17" t="s">
        <v>113</v>
      </c>
      <c r="D403" s="17">
        <v>6</v>
      </c>
      <c r="E403" s="17" t="s">
        <v>498</v>
      </c>
      <c r="F403" s="17" t="s">
        <v>181</v>
      </c>
      <c r="G403" s="17" t="s">
        <v>181</v>
      </c>
      <c r="H403" s="17" t="s">
        <v>828</v>
      </c>
      <c r="I403" s="17">
        <v>4</v>
      </c>
      <c r="J403" s="18">
        <f t="shared" si="12"/>
        <v>0</v>
      </c>
      <c r="K403" s="18">
        <f t="shared" si="13"/>
        <v>8</v>
      </c>
      <c r="L403" s="20">
        <f>IF(H403="Shipped",'Capacity &amp; Cost Dashboard'!D27+'Capacity &amp; Cost Dashboard'!D28*D403*INDEX('Capacity &amp; Cost Dashboard'!$C$31:$C$38,MATCH(INDEX(Products!$C$2:$C$31,MATCH(C403,Products!$A$2:$A$31,0)),'Capacity &amp; Cost Dashboard'!$B$31:$B$38,0)),0)</f>
        <v>13.4</v>
      </c>
    </row>
    <row r="404" spans="1:12" ht="18" x14ac:dyDescent="0.2">
      <c r="A404" s="17">
        <v>994</v>
      </c>
      <c r="B404" s="17" t="s">
        <v>831</v>
      </c>
      <c r="C404" s="17" t="s">
        <v>98</v>
      </c>
      <c r="D404" s="17">
        <v>24</v>
      </c>
      <c r="E404" s="17" t="s">
        <v>180</v>
      </c>
      <c r="F404" s="17" t="s">
        <v>497</v>
      </c>
      <c r="G404" s="17" t="s">
        <v>498</v>
      </c>
      <c r="H404" s="17" t="s">
        <v>828</v>
      </c>
      <c r="I404" s="17">
        <v>4</v>
      </c>
      <c r="J404" s="18">
        <f t="shared" si="12"/>
        <v>0</v>
      </c>
      <c r="K404" s="18">
        <f t="shared" si="13"/>
        <v>8</v>
      </c>
      <c r="L404" s="20" t="e">
        <f>IF(H404="Shipped",'Capacity &amp; Cost Dashboard'!D27+'Capacity &amp; Cost Dashboard'!D28*D404*INDEX('Capacity &amp; Cost Dashboard'!$C$31:$C$38,MATCH(INDEX(Products!$C$2:$C$31,MATCH(C404,Products!$A$2:$A$31,0)),'Capacity &amp; Cost Dashboard'!$B$31:$B$38,0)),0)</f>
        <v>#N/A</v>
      </c>
    </row>
    <row r="405" spans="1:12" ht="18" x14ac:dyDescent="0.2">
      <c r="A405" s="17">
        <v>995</v>
      </c>
      <c r="B405" s="17" t="s">
        <v>855</v>
      </c>
      <c r="C405" s="17" t="s">
        <v>136</v>
      </c>
      <c r="D405" s="17">
        <v>17</v>
      </c>
      <c r="E405" s="17" t="s">
        <v>180</v>
      </c>
      <c r="F405" s="17" t="s">
        <v>498</v>
      </c>
      <c r="G405" s="17" t="s">
        <v>480</v>
      </c>
      <c r="H405" s="17" t="s">
        <v>828</v>
      </c>
      <c r="I405" s="17">
        <v>5</v>
      </c>
      <c r="J405" s="18">
        <f t="shared" si="12"/>
        <v>0</v>
      </c>
      <c r="K405" s="18">
        <f t="shared" si="13"/>
        <v>8</v>
      </c>
      <c r="L405" s="20">
        <f>IF(H405="Shipped",'Capacity &amp; Cost Dashboard'!D27+'Capacity &amp; Cost Dashboard'!D28*D405*INDEX('Capacity &amp; Cost Dashboard'!$C$31:$C$38,MATCH(INDEX(Products!$C$2:$C$31,MATCH(C405,Products!$A$2:$A$31,0)),'Capacity &amp; Cost Dashboard'!$B$31:$B$38,0)),0)</f>
        <v>10.295</v>
      </c>
    </row>
    <row r="406" spans="1:12" ht="18" x14ac:dyDescent="0.2">
      <c r="A406" s="17">
        <v>996</v>
      </c>
      <c r="B406" s="17" t="s">
        <v>856</v>
      </c>
      <c r="C406" s="17" t="s">
        <v>120</v>
      </c>
      <c r="D406" s="17">
        <v>16</v>
      </c>
      <c r="E406" s="17" t="s">
        <v>180</v>
      </c>
      <c r="F406" s="17" t="s">
        <v>480</v>
      </c>
      <c r="G406" s="17" t="s">
        <v>480</v>
      </c>
      <c r="H406" s="17" t="s">
        <v>828</v>
      </c>
      <c r="I406" s="17">
        <v>5</v>
      </c>
      <c r="J406" s="18">
        <f t="shared" si="12"/>
        <v>0</v>
      </c>
      <c r="K406" s="18">
        <f t="shared" si="13"/>
        <v>8</v>
      </c>
      <c r="L406" s="20">
        <f>IF(H406="Shipped",'Capacity &amp; Cost Dashboard'!D27+'Capacity &amp; Cost Dashboard'!D28*D406*INDEX('Capacity &amp; Cost Dashboard'!$C$31:$C$38,MATCH(INDEX(Products!$C$2:$C$31,MATCH(C406,Products!$A$2:$A$31,0)),'Capacity &amp; Cost Dashboard'!$B$31:$B$38,0)),0)</f>
        <v>15.2</v>
      </c>
    </row>
    <row r="407" spans="1:12" ht="18" x14ac:dyDescent="0.2">
      <c r="A407" s="17">
        <v>997</v>
      </c>
      <c r="B407" s="17" t="s">
        <v>857</v>
      </c>
      <c r="C407" s="17" t="s">
        <v>143</v>
      </c>
      <c r="D407" s="17">
        <v>11</v>
      </c>
      <c r="E407" s="17" t="s">
        <v>498</v>
      </c>
      <c r="F407" s="17" t="s">
        <v>501</v>
      </c>
      <c r="G407" s="17" t="s">
        <v>501</v>
      </c>
      <c r="H407" s="17" t="s">
        <v>828</v>
      </c>
      <c r="I407" s="17">
        <v>4</v>
      </c>
      <c r="J407" s="18">
        <f t="shared" si="12"/>
        <v>0</v>
      </c>
      <c r="K407" s="18">
        <f t="shared" si="13"/>
        <v>8</v>
      </c>
      <c r="L407" s="20">
        <f>IF(H407="Shipped",'Capacity &amp; Cost Dashboard'!D27+'Capacity &amp; Cost Dashboard'!D28*D407*INDEX('Capacity &amp; Cost Dashboard'!$C$31:$C$38,MATCH(INDEX(Products!$C$2:$C$31,MATCH(C407,Products!$A$2:$A$31,0)),'Capacity &amp; Cost Dashboard'!$B$31:$B$38,0)),0)</f>
        <v>9.4849999999999994</v>
      </c>
    </row>
    <row r="408" spans="1:12" ht="18" x14ac:dyDescent="0.2">
      <c r="A408" s="17">
        <v>998</v>
      </c>
      <c r="B408" s="17" t="s">
        <v>849</v>
      </c>
      <c r="C408" s="17" t="s">
        <v>143</v>
      </c>
      <c r="D408" s="17">
        <v>7</v>
      </c>
      <c r="E408" s="17" t="s">
        <v>467</v>
      </c>
      <c r="F408" s="17" t="s">
        <v>181</v>
      </c>
      <c r="G408" s="17" t="s">
        <v>491</v>
      </c>
      <c r="H408" s="17" t="s">
        <v>828</v>
      </c>
      <c r="I408" s="17">
        <v>5</v>
      </c>
      <c r="J408" s="18">
        <f t="shared" si="12"/>
        <v>0</v>
      </c>
      <c r="K408" s="18">
        <f t="shared" si="13"/>
        <v>8</v>
      </c>
      <c r="L408" s="20">
        <f>IF(H408="Shipped",'Capacity &amp; Cost Dashboard'!D27+'Capacity &amp; Cost Dashboard'!D28*D408*INDEX('Capacity &amp; Cost Dashboard'!$C$31:$C$38,MATCH(INDEX(Products!$C$2:$C$31,MATCH(C408,Products!$A$2:$A$31,0)),'Capacity &amp; Cost Dashboard'!$B$31:$B$38,0)),0)</f>
        <v>8.9450000000000003</v>
      </c>
    </row>
    <row r="409" spans="1:12" ht="18" x14ac:dyDescent="0.2">
      <c r="A409" s="17">
        <v>999</v>
      </c>
      <c r="B409" s="17" t="s">
        <v>832</v>
      </c>
      <c r="C409" s="17" t="s">
        <v>132</v>
      </c>
      <c r="D409" s="17">
        <v>16</v>
      </c>
      <c r="E409" s="17" t="s">
        <v>470</v>
      </c>
      <c r="F409" s="17" t="s">
        <v>491</v>
      </c>
      <c r="G409" s="17" t="s">
        <v>491</v>
      </c>
      <c r="H409" s="17" t="s">
        <v>828</v>
      </c>
      <c r="I409" s="17">
        <v>5</v>
      </c>
      <c r="J409" s="18">
        <f t="shared" si="12"/>
        <v>0</v>
      </c>
      <c r="K409" s="18">
        <f t="shared" si="13"/>
        <v>8</v>
      </c>
      <c r="L409" s="20">
        <f>IF(H409="Shipped",'Capacity &amp; Cost Dashboard'!D27+'Capacity &amp; Cost Dashboard'!D28*D409*INDEX('Capacity &amp; Cost Dashboard'!$C$31:$C$38,MATCH(INDEX(Products!$C$2:$C$31,MATCH(C409,Products!$A$2:$A$31,0)),'Capacity &amp; Cost Dashboard'!$B$31:$B$38,0)),0)</f>
        <v>22.4</v>
      </c>
    </row>
    <row r="410" spans="1:12" ht="18" x14ac:dyDescent="0.2">
      <c r="A410" s="17">
        <v>1000</v>
      </c>
      <c r="B410" s="17" t="s">
        <v>834</v>
      </c>
      <c r="C410" s="17" t="s">
        <v>130</v>
      </c>
      <c r="D410" s="17">
        <v>1</v>
      </c>
      <c r="E410" s="17" t="s">
        <v>498</v>
      </c>
      <c r="F410" s="17" t="s">
        <v>501</v>
      </c>
      <c r="G410" s="17" t="s">
        <v>517</v>
      </c>
      <c r="H410" s="17" t="s">
        <v>828</v>
      </c>
      <c r="I410" s="17">
        <v>4</v>
      </c>
      <c r="J410" s="18">
        <f t="shared" si="12"/>
        <v>0</v>
      </c>
      <c r="K410" s="18">
        <f t="shared" si="13"/>
        <v>8</v>
      </c>
      <c r="L410" s="20">
        <f>IF(H410="Shipped",'Capacity &amp; Cost Dashboard'!D27+'Capacity &amp; Cost Dashboard'!D28*D410*INDEX('Capacity &amp; Cost Dashboard'!$C$31:$C$38,MATCH(INDEX(Products!$C$2:$C$31,MATCH(C410,Products!$A$2:$A$31,0)),'Capacity &amp; Cost Dashboard'!$B$31:$B$38,0)),0)</f>
        <v>8.9</v>
      </c>
    </row>
    <row r="411" spans="1:12" ht="18" x14ac:dyDescent="0.2">
      <c r="A411" s="17">
        <v>1001</v>
      </c>
      <c r="B411" s="17" t="s">
        <v>854</v>
      </c>
      <c r="C411" s="17" t="s">
        <v>147</v>
      </c>
      <c r="D411" s="17">
        <v>34</v>
      </c>
      <c r="E411" s="17" t="s">
        <v>180</v>
      </c>
      <c r="F411" s="17" t="s">
        <v>498</v>
      </c>
      <c r="G411" s="17" t="s">
        <v>498</v>
      </c>
      <c r="H411" s="17" t="s">
        <v>828</v>
      </c>
      <c r="I411" s="17">
        <v>5</v>
      </c>
      <c r="J411" s="18">
        <f t="shared" si="12"/>
        <v>0</v>
      </c>
      <c r="K411" s="18">
        <f t="shared" si="13"/>
        <v>8</v>
      </c>
      <c r="L411" s="20">
        <f>IF(H411="Shipped",'Capacity &amp; Cost Dashboard'!D27+'Capacity &amp; Cost Dashboard'!D28*D411*INDEX('Capacity &amp; Cost Dashboard'!$C$31:$C$38,MATCH(INDEX(Products!$C$2:$C$31,MATCH(C411,Products!$A$2:$A$31,0)),'Capacity &amp; Cost Dashboard'!$B$31:$B$38,0)),0)</f>
        <v>12.59</v>
      </c>
    </row>
    <row r="412" spans="1:12" ht="18" x14ac:dyDescent="0.2">
      <c r="A412" s="17">
        <v>1002</v>
      </c>
      <c r="B412" s="17" t="s">
        <v>841</v>
      </c>
      <c r="C412" s="17" t="s">
        <v>111</v>
      </c>
      <c r="D412" s="17">
        <v>23</v>
      </c>
      <c r="E412" s="17" t="s">
        <v>480</v>
      </c>
      <c r="F412" s="17" t="s">
        <v>181</v>
      </c>
      <c r="G412" s="17" t="s">
        <v>181</v>
      </c>
      <c r="H412" s="17" t="s">
        <v>828</v>
      </c>
      <c r="I412" s="17">
        <v>4</v>
      </c>
      <c r="J412" s="18">
        <f t="shared" si="12"/>
        <v>0</v>
      </c>
      <c r="K412" s="18">
        <f t="shared" si="13"/>
        <v>8</v>
      </c>
      <c r="L412" s="20">
        <f>IF(H412="Shipped",'Capacity &amp; Cost Dashboard'!D27+'Capacity &amp; Cost Dashboard'!D28*D412*INDEX('Capacity &amp; Cost Dashboard'!$C$31:$C$38,MATCH(INDEX(Products!$C$2:$C$31,MATCH(C412,Products!$A$2:$A$31,0)),'Capacity &amp; Cost Dashboard'!$B$31:$B$38,0)),0)</f>
        <v>59.75</v>
      </c>
    </row>
    <row r="413" spans="1:12" ht="18" x14ac:dyDescent="0.2">
      <c r="A413" s="17">
        <v>1003</v>
      </c>
      <c r="B413" s="17" t="s">
        <v>832</v>
      </c>
      <c r="C413" s="17" t="s">
        <v>147</v>
      </c>
      <c r="D413" s="17">
        <v>24</v>
      </c>
      <c r="E413" s="17" t="s">
        <v>470</v>
      </c>
      <c r="F413" s="17" t="s">
        <v>491</v>
      </c>
      <c r="G413" s="17" t="s">
        <v>497</v>
      </c>
      <c r="H413" s="17" t="s">
        <v>828</v>
      </c>
      <c r="I413" s="17">
        <v>4</v>
      </c>
      <c r="J413" s="18">
        <f t="shared" si="12"/>
        <v>0</v>
      </c>
      <c r="K413" s="18">
        <f t="shared" si="13"/>
        <v>8</v>
      </c>
      <c r="L413" s="20">
        <f>IF(H413="Shipped",'Capacity &amp; Cost Dashboard'!D27+'Capacity &amp; Cost Dashboard'!D28*D413*INDEX('Capacity &amp; Cost Dashboard'!$C$31:$C$38,MATCH(INDEX(Products!$C$2:$C$31,MATCH(C413,Products!$A$2:$A$31,0)),'Capacity &amp; Cost Dashboard'!$B$31:$B$38,0)),0)</f>
        <v>11.24</v>
      </c>
    </row>
    <row r="414" spans="1:12" ht="18" x14ac:dyDescent="0.2">
      <c r="A414" s="17">
        <v>1004</v>
      </c>
      <c r="B414" s="17" t="s">
        <v>833</v>
      </c>
      <c r="C414" s="17" t="s">
        <v>139</v>
      </c>
      <c r="D414" s="17">
        <v>15</v>
      </c>
      <c r="E414" s="17" t="s">
        <v>498</v>
      </c>
      <c r="F414" s="17" t="s">
        <v>501</v>
      </c>
      <c r="G414" s="17" t="s">
        <v>517</v>
      </c>
      <c r="H414" s="17" t="s">
        <v>828</v>
      </c>
      <c r="I414" s="17">
        <v>5</v>
      </c>
      <c r="J414" s="18">
        <f t="shared" si="12"/>
        <v>0</v>
      </c>
      <c r="K414" s="18">
        <f t="shared" si="13"/>
        <v>8</v>
      </c>
      <c r="L414" s="20">
        <f>IF(H414="Shipped",'Capacity &amp; Cost Dashboard'!D27+'Capacity &amp; Cost Dashboard'!D28*D414*INDEX('Capacity &amp; Cost Dashboard'!$C$31:$C$38,MATCH(INDEX(Products!$C$2:$C$31,MATCH(C414,Products!$A$2:$A$31,0)),'Capacity &amp; Cost Dashboard'!$B$31:$B$38,0)),0)</f>
        <v>10.025</v>
      </c>
    </row>
    <row r="415" spans="1:12" ht="18" x14ac:dyDescent="0.2">
      <c r="A415" s="17">
        <v>1005</v>
      </c>
      <c r="B415" s="17" t="s">
        <v>842</v>
      </c>
      <c r="C415" s="17" t="s">
        <v>123</v>
      </c>
      <c r="D415" s="17">
        <v>8</v>
      </c>
      <c r="E415" s="17" t="s">
        <v>467</v>
      </c>
      <c r="F415" s="17" t="s">
        <v>497</v>
      </c>
      <c r="G415" s="17" t="s">
        <v>497</v>
      </c>
      <c r="H415" s="17" t="s">
        <v>828</v>
      </c>
      <c r="I415" s="17">
        <v>4</v>
      </c>
      <c r="J415" s="18">
        <f t="shared" si="12"/>
        <v>0</v>
      </c>
      <c r="K415" s="18">
        <f t="shared" si="13"/>
        <v>8</v>
      </c>
      <c r="L415" s="20">
        <f>IF(H415="Shipped",'Capacity &amp; Cost Dashboard'!D27+'Capacity &amp; Cost Dashboard'!D28*D415*INDEX('Capacity &amp; Cost Dashboard'!$C$31:$C$38,MATCH(INDEX(Products!$C$2:$C$31,MATCH(C415,Products!$A$2:$A$31,0)),'Capacity &amp; Cost Dashboard'!$B$31:$B$38,0)),0)</f>
        <v>11.6</v>
      </c>
    </row>
    <row r="416" spans="1:12" ht="18" x14ac:dyDescent="0.2">
      <c r="A416" s="17">
        <v>1006</v>
      </c>
      <c r="B416" s="17" t="s">
        <v>838</v>
      </c>
      <c r="C416" s="17" t="s">
        <v>123</v>
      </c>
      <c r="D416" s="17">
        <v>1</v>
      </c>
      <c r="E416" s="17" t="s">
        <v>467</v>
      </c>
      <c r="F416" s="17" t="s">
        <v>181</v>
      </c>
      <c r="G416" s="17" t="s">
        <v>491</v>
      </c>
      <c r="H416" s="17" t="s">
        <v>828</v>
      </c>
      <c r="I416" s="17">
        <v>5</v>
      </c>
      <c r="J416" s="18">
        <f t="shared" si="12"/>
        <v>0</v>
      </c>
      <c r="K416" s="18">
        <f t="shared" si="13"/>
        <v>8</v>
      </c>
      <c r="L416" s="20">
        <f>IF(H416="Shipped",'Capacity &amp; Cost Dashboard'!D27+'Capacity &amp; Cost Dashboard'!D28*D416*INDEX('Capacity &amp; Cost Dashboard'!$C$31:$C$38,MATCH(INDEX(Products!$C$2:$C$31,MATCH(C416,Products!$A$2:$A$31,0)),'Capacity &amp; Cost Dashboard'!$B$31:$B$38,0)),0)</f>
        <v>8.4499999999999993</v>
      </c>
    </row>
    <row r="417" spans="1:12" ht="18" x14ac:dyDescent="0.2">
      <c r="A417" s="17">
        <v>1007</v>
      </c>
      <c r="B417" s="17" t="s">
        <v>856</v>
      </c>
      <c r="C417" s="17" t="s">
        <v>127</v>
      </c>
      <c r="D417" s="17">
        <v>2</v>
      </c>
      <c r="E417" s="17" t="s">
        <v>467</v>
      </c>
      <c r="F417" s="17" t="s">
        <v>497</v>
      </c>
      <c r="G417" s="17" t="s">
        <v>497</v>
      </c>
      <c r="H417" s="17" t="s">
        <v>828</v>
      </c>
      <c r="I417" s="17">
        <v>4</v>
      </c>
      <c r="J417" s="18">
        <f t="shared" si="12"/>
        <v>0</v>
      </c>
      <c r="K417" s="18">
        <f t="shared" si="13"/>
        <v>8</v>
      </c>
      <c r="L417" s="20">
        <f>IF(H417="Shipped",'Capacity &amp; Cost Dashboard'!D27+'Capacity &amp; Cost Dashboard'!D28*D417*INDEX('Capacity &amp; Cost Dashboard'!$C$31:$C$38,MATCH(INDEX(Products!$C$2:$C$31,MATCH(C417,Products!$A$2:$A$31,0)),'Capacity &amp; Cost Dashboard'!$B$31:$B$38,0)),0)</f>
        <v>9.8000000000000007</v>
      </c>
    </row>
    <row r="418" spans="1:12" ht="18" x14ac:dyDescent="0.2">
      <c r="A418" s="17">
        <v>1008</v>
      </c>
      <c r="B418" s="17" t="s">
        <v>853</v>
      </c>
      <c r="C418" s="17" t="s">
        <v>136</v>
      </c>
      <c r="D418" s="17">
        <v>24</v>
      </c>
      <c r="E418" s="17" t="s">
        <v>498</v>
      </c>
      <c r="F418" s="17" t="s">
        <v>501</v>
      </c>
      <c r="G418" s="17" t="s">
        <v>517</v>
      </c>
      <c r="H418" s="17" t="s">
        <v>828</v>
      </c>
      <c r="I418" s="17">
        <v>5</v>
      </c>
      <c r="J418" s="18">
        <f t="shared" si="12"/>
        <v>0</v>
      </c>
      <c r="K418" s="18">
        <f t="shared" si="13"/>
        <v>8</v>
      </c>
      <c r="L418" s="20">
        <f>IF(H418="Shipped",'Capacity &amp; Cost Dashboard'!D27+'Capacity &amp; Cost Dashboard'!D28*D418*INDEX('Capacity &amp; Cost Dashboard'!$C$31:$C$38,MATCH(INDEX(Products!$C$2:$C$31,MATCH(C418,Products!$A$2:$A$31,0)),'Capacity &amp; Cost Dashboard'!$B$31:$B$38,0)),0)</f>
        <v>11.24</v>
      </c>
    </row>
    <row r="419" spans="1:12" ht="18" x14ac:dyDescent="0.2">
      <c r="A419" s="17">
        <v>1009</v>
      </c>
      <c r="B419" s="17" t="s">
        <v>852</v>
      </c>
      <c r="C419" s="17" t="s">
        <v>156</v>
      </c>
      <c r="D419" s="17">
        <v>6</v>
      </c>
      <c r="E419" s="17" t="s">
        <v>467</v>
      </c>
      <c r="F419" s="17" t="s">
        <v>181</v>
      </c>
      <c r="G419" s="17" t="s">
        <v>491</v>
      </c>
      <c r="H419" s="17" t="s">
        <v>828</v>
      </c>
      <c r="I419" s="17">
        <v>5</v>
      </c>
      <c r="J419" s="18">
        <f t="shared" si="12"/>
        <v>0</v>
      </c>
      <c r="K419" s="18">
        <f t="shared" si="13"/>
        <v>8</v>
      </c>
      <c r="L419" s="20">
        <f>IF(H419="Shipped",'Capacity &amp; Cost Dashboard'!D27+'Capacity &amp; Cost Dashboard'!D28*D419*INDEX('Capacity &amp; Cost Dashboard'!$C$31:$C$38,MATCH(INDEX(Products!$C$2:$C$31,MATCH(C419,Products!$A$2:$A$31,0)),'Capacity &amp; Cost Dashboard'!$B$31:$B$38,0)),0)</f>
        <v>16.100000000000001</v>
      </c>
    </row>
    <row r="420" spans="1:12" ht="18" x14ac:dyDescent="0.2">
      <c r="A420" s="17">
        <v>1010</v>
      </c>
      <c r="B420" s="17" t="s">
        <v>844</v>
      </c>
      <c r="C420" s="17" t="s">
        <v>118</v>
      </c>
      <c r="D420" s="17">
        <v>10</v>
      </c>
      <c r="E420" s="17" t="s">
        <v>480</v>
      </c>
      <c r="F420" s="17" t="s">
        <v>517</v>
      </c>
      <c r="G420" s="17" t="s">
        <v>181</v>
      </c>
      <c r="H420" s="17" t="s">
        <v>828</v>
      </c>
      <c r="I420" s="17">
        <v>4</v>
      </c>
      <c r="J420" s="18">
        <f t="shared" si="12"/>
        <v>0</v>
      </c>
      <c r="K420" s="18">
        <f t="shared" si="13"/>
        <v>8</v>
      </c>
      <c r="L420" s="20">
        <f>IF(H420="Shipped",'Capacity &amp; Cost Dashboard'!D27+'Capacity &amp; Cost Dashboard'!D28*D420*INDEX('Capacity &amp; Cost Dashboard'!$C$31:$C$38,MATCH(INDEX(Products!$C$2:$C$31,MATCH(C420,Products!$A$2:$A$31,0)),'Capacity &amp; Cost Dashboard'!$B$31:$B$38,0)),0)</f>
        <v>17</v>
      </c>
    </row>
    <row r="421" spans="1:12" ht="18" x14ac:dyDescent="0.2">
      <c r="A421" s="17">
        <v>1011</v>
      </c>
      <c r="B421" s="17" t="s">
        <v>856</v>
      </c>
      <c r="C421" s="17" t="s">
        <v>127</v>
      </c>
      <c r="D421" s="17">
        <v>4</v>
      </c>
      <c r="E421" s="17" t="s">
        <v>480</v>
      </c>
      <c r="F421" s="17" t="s">
        <v>491</v>
      </c>
      <c r="G421" s="17" t="s">
        <v>497</v>
      </c>
      <c r="H421" s="17" t="s">
        <v>828</v>
      </c>
      <c r="I421" s="17">
        <v>5</v>
      </c>
      <c r="J421" s="18">
        <f t="shared" si="12"/>
        <v>0</v>
      </c>
      <c r="K421" s="18">
        <f t="shared" si="13"/>
        <v>8</v>
      </c>
      <c r="L421" s="20">
        <f>IF(H421="Shipped",'Capacity &amp; Cost Dashboard'!D27+'Capacity &amp; Cost Dashboard'!D28*D421*INDEX('Capacity &amp; Cost Dashboard'!$C$31:$C$38,MATCH(INDEX(Products!$C$2:$C$31,MATCH(C421,Products!$A$2:$A$31,0)),'Capacity &amp; Cost Dashboard'!$B$31:$B$38,0)),0)</f>
        <v>11.6</v>
      </c>
    </row>
    <row r="422" spans="1:12" ht="18" x14ac:dyDescent="0.2">
      <c r="A422" s="17">
        <v>1012</v>
      </c>
      <c r="B422" s="17" t="s">
        <v>831</v>
      </c>
      <c r="C422" s="17" t="s">
        <v>113</v>
      </c>
      <c r="D422" s="17">
        <v>5</v>
      </c>
      <c r="E422" s="17" t="s">
        <v>517</v>
      </c>
      <c r="F422" s="17" t="s">
        <v>537</v>
      </c>
      <c r="G422" s="17" t="s">
        <v>502</v>
      </c>
      <c r="H422" s="17" t="s">
        <v>828</v>
      </c>
      <c r="I422" s="17">
        <v>2</v>
      </c>
      <c r="J422" s="18">
        <f t="shared" si="12"/>
        <v>1</v>
      </c>
      <c r="K422" s="18">
        <f t="shared" si="13"/>
        <v>9</v>
      </c>
      <c r="L422" s="20">
        <f>IF(H422="Shipped",'Capacity &amp; Cost Dashboard'!D27+'Capacity &amp; Cost Dashboard'!D28*D422*INDEX('Capacity &amp; Cost Dashboard'!$C$31:$C$38,MATCH(INDEX(Products!$C$2:$C$31,MATCH(C422,Products!$A$2:$A$31,0)),'Capacity &amp; Cost Dashboard'!$B$31:$B$38,0)),0)</f>
        <v>12.5</v>
      </c>
    </row>
    <row r="423" spans="1:12" ht="18" x14ac:dyDescent="0.2">
      <c r="A423" s="17">
        <v>1013</v>
      </c>
      <c r="B423" s="17" t="s">
        <v>850</v>
      </c>
      <c r="C423" s="17" t="s">
        <v>154</v>
      </c>
      <c r="D423" s="17">
        <v>1</v>
      </c>
      <c r="E423" s="17" t="s">
        <v>525</v>
      </c>
      <c r="F423" s="17" t="s">
        <v>553</v>
      </c>
      <c r="G423" s="17" t="s">
        <v>553</v>
      </c>
      <c r="H423" s="17" t="s">
        <v>828</v>
      </c>
      <c r="I423" s="17">
        <v>5</v>
      </c>
      <c r="J423" s="18">
        <f t="shared" si="12"/>
        <v>0</v>
      </c>
      <c r="K423" s="18">
        <f t="shared" si="13"/>
        <v>9</v>
      </c>
      <c r="L423" s="20">
        <f>IF(H423="Shipped",'Capacity &amp; Cost Dashboard'!D27+'Capacity &amp; Cost Dashboard'!D28*D423*INDEX('Capacity &amp; Cost Dashboard'!$C$31:$C$38,MATCH(INDEX(Products!$C$2:$C$31,MATCH(C423,Products!$A$2:$A$31,0)),'Capacity &amp; Cost Dashboard'!$B$31:$B$38,0)),0)</f>
        <v>8.6750000000000007</v>
      </c>
    </row>
    <row r="424" spans="1:12" ht="18" x14ac:dyDescent="0.2">
      <c r="A424" s="17">
        <v>1014</v>
      </c>
      <c r="B424" s="17" t="s">
        <v>853</v>
      </c>
      <c r="C424" s="17" t="s">
        <v>104</v>
      </c>
      <c r="D424" s="17">
        <v>6</v>
      </c>
      <c r="E424" s="17" t="s">
        <v>181</v>
      </c>
      <c r="F424" s="17" t="s">
        <v>524</v>
      </c>
      <c r="G424" s="17" t="s">
        <v>524</v>
      </c>
      <c r="H424" s="17" t="s">
        <v>828</v>
      </c>
      <c r="I424" s="17">
        <v>4</v>
      </c>
      <c r="J424" s="18">
        <f t="shared" si="12"/>
        <v>0</v>
      </c>
      <c r="K424" s="18">
        <f t="shared" si="13"/>
        <v>9</v>
      </c>
      <c r="L424" s="20">
        <f>IF(H424="Shipped",'Capacity &amp; Cost Dashboard'!D27+'Capacity &amp; Cost Dashboard'!D28*D424*INDEX('Capacity &amp; Cost Dashboard'!$C$31:$C$38,MATCH(INDEX(Products!$C$2:$C$31,MATCH(C424,Products!$A$2:$A$31,0)),'Capacity &amp; Cost Dashboard'!$B$31:$B$38,0)),0)</f>
        <v>21.5</v>
      </c>
    </row>
    <row r="425" spans="1:12" ht="18" x14ac:dyDescent="0.2">
      <c r="A425" s="17">
        <v>1015</v>
      </c>
      <c r="B425" s="17" t="s">
        <v>850</v>
      </c>
      <c r="C425" s="17" t="s">
        <v>107</v>
      </c>
      <c r="D425" s="17">
        <v>1</v>
      </c>
      <c r="E425" s="17" t="s">
        <v>525</v>
      </c>
      <c r="F425" s="17" t="s">
        <v>182</v>
      </c>
      <c r="G425" s="17" t="s">
        <v>182</v>
      </c>
      <c r="H425" s="17" t="s">
        <v>828</v>
      </c>
      <c r="I425" s="17">
        <v>4</v>
      </c>
      <c r="J425" s="18">
        <f t="shared" si="12"/>
        <v>0</v>
      </c>
      <c r="K425" s="18">
        <f t="shared" si="13"/>
        <v>9</v>
      </c>
      <c r="L425" s="20">
        <f>IF(H425="Shipped",'Capacity &amp; Cost Dashboard'!D27+'Capacity &amp; Cost Dashboard'!D28*D425*INDEX('Capacity &amp; Cost Dashboard'!$C$31:$C$38,MATCH(INDEX(Products!$C$2:$C$31,MATCH(C425,Products!$A$2:$A$31,0)),'Capacity &amp; Cost Dashboard'!$B$31:$B$38,0)),0)</f>
        <v>10.25</v>
      </c>
    </row>
    <row r="426" spans="1:12" ht="18" x14ac:dyDescent="0.2">
      <c r="A426" s="17">
        <v>1016</v>
      </c>
      <c r="B426" s="17" t="s">
        <v>836</v>
      </c>
      <c r="C426" s="17" t="s">
        <v>120</v>
      </c>
      <c r="D426" s="17">
        <v>15</v>
      </c>
      <c r="E426" s="17" t="s">
        <v>525</v>
      </c>
      <c r="F426" s="17" t="s">
        <v>553</v>
      </c>
      <c r="G426" s="17" t="s">
        <v>502</v>
      </c>
      <c r="H426" s="17" t="s">
        <v>828</v>
      </c>
      <c r="I426" s="17">
        <v>4</v>
      </c>
      <c r="J426" s="18">
        <f t="shared" si="12"/>
        <v>0</v>
      </c>
      <c r="K426" s="18">
        <f t="shared" si="13"/>
        <v>9</v>
      </c>
      <c r="L426" s="20">
        <f>IF(H426="Shipped",'Capacity &amp; Cost Dashboard'!D27+'Capacity &amp; Cost Dashboard'!D28*D426*INDEX('Capacity &amp; Cost Dashboard'!$C$31:$C$38,MATCH(INDEX(Products!$C$2:$C$31,MATCH(C426,Products!$A$2:$A$31,0)),'Capacity &amp; Cost Dashboard'!$B$31:$B$38,0)),0)</f>
        <v>14.75</v>
      </c>
    </row>
    <row r="427" spans="1:12" ht="18" x14ac:dyDescent="0.2">
      <c r="A427" s="17">
        <v>1017</v>
      </c>
      <c r="B427" s="17" t="s">
        <v>854</v>
      </c>
      <c r="C427" s="17" t="s">
        <v>147</v>
      </c>
      <c r="D427" s="17">
        <v>14</v>
      </c>
      <c r="E427" s="17" t="s">
        <v>494</v>
      </c>
      <c r="F427" s="17" t="s">
        <v>502</v>
      </c>
      <c r="G427" s="17" t="s">
        <v>182</v>
      </c>
      <c r="H427" s="17" t="s">
        <v>828</v>
      </c>
      <c r="I427" s="17">
        <v>5</v>
      </c>
      <c r="J427" s="18">
        <f t="shared" si="12"/>
        <v>0</v>
      </c>
      <c r="K427" s="18">
        <f t="shared" si="13"/>
        <v>9</v>
      </c>
      <c r="L427" s="20">
        <f>IF(H427="Shipped",'Capacity &amp; Cost Dashboard'!D27+'Capacity &amp; Cost Dashboard'!D28*D427*INDEX('Capacity &amp; Cost Dashboard'!$C$31:$C$38,MATCH(INDEX(Products!$C$2:$C$31,MATCH(C427,Products!$A$2:$A$31,0)),'Capacity &amp; Cost Dashboard'!$B$31:$B$38,0)),0)</f>
        <v>9.89</v>
      </c>
    </row>
    <row r="428" spans="1:12" ht="18" x14ac:dyDescent="0.2">
      <c r="A428" s="17">
        <v>1018</v>
      </c>
      <c r="B428" s="17" t="s">
        <v>835</v>
      </c>
      <c r="C428" s="17" t="s">
        <v>102</v>
      </c>
      <c r="D428" s="17">
        <v>13</v>
      </c>
      <c r="E428" s="17" t="s">
        <v>501</v>
      </c>
      <c r="F428" s="17" t="s">
        <v>182</v>
      </c>
      <c r="G428" s="17" t="s">
        <v>537</v>
      </c>
      <c r="H428" s="17" t="s">
        <v>828</v>
      </c>
      <c r="I428" s="17">
        <v>4</v>
      </c>
      <c r="J428" s="18">
        <f t="shared" si="12"/>
        <v>0</v>
      </c>
      <c r="K428" s="18">
        <f t="shared" si="13"/>
        <v>9</v>
      </c>
      <c r="L428" s="20" t="e">
        <f>IF(H428="Shipped",'Capacity &amp; Cost Dashboard'!D27+'Capacity &amp; Cost Dashboard'!D28*D428*INDEX('Capacity &amp; Cost Dashboard'!$C$31:$C$38,MATCH(INDEX(Products!$C$2:$C$31,MATCH(C428,Products!$A$2:$A$31,0)),'Capacity &amp; Cost Dashboard'!$B$31:$B$38,0)),0)</f>
        <v>#N/A</v>
      </c>
    </row>
    <row r="429" spans="1:12" ht="18" x14ac:dyDescent="0.2">
      <c r="A429" s="17">
        <v>1019</v>
      </c>
      <c r="B429" s="17" t="s">
        <v>837</v>
      </c>
      <c r="C429" s="17" t="s">
        <v>161</v>
      </c>
      <c r="D429" s="17">
        <v>4</v>
      </c>
      <c r="E429" s="17" t="s">
        <v>501</v>
      </c>
      <c r="F429" s="17" t="s">
        <v>524</v>
      </c>
      <c r="G429" s="17" t="s">
        <v>525</v>
      </c>
      <c r="H429" s="17" t="s">
        <v>828</v>
      </c>
      <c r="I429" s="17">
        <v>5</v>
      </c>
      <c r="J429" s="18">
        <f t="shared" si="12"/>
        <v>0</v>
      </c>
      <c r="K429" s="18">
        <f t="shared" si="13"/>
        <v>9</v>
      </c>
      <c r="L429" s="20">
        <f>IF(H429="Shipped",'Capacity &amp; Cost Dashboard'!D27+'Capacity &amp; Cost Dashboard'!D28*D429*INDEX('Capacity &amp; Cost Dashboard'!$C$31:$C$38,MATCH(INDEX(Products!$C$2:$C$31,MATCH(C429,Products!$A$2:$A$31,0)),'Capacity &amp; Cost Dashboard'!$B$31:$B$38,0)),0)</f>
        <v>13.4</v>
      </c>
    </row>
    <row r="430" spans="1:12" ht="18" x14ac:dyDescent="0.2">
      <c r="A430" s="17">
        <v>1020</v>
      </c>
      <c r="B430" s="17" t="s">
        <v>833</v>
      </c>
      <c r="C430" s="17" t="s">
        <v>147</v>
      </c>
      <c r="D430" s="17">
        <v>28</v>
      </c>
      <c r="E430" s="17" t="s">
        <v>517</v>
      </c>
      <c r="F430" s="17" t="s">
        <v>537</v>
      </c>
      <c r="G430" s="17" t="s">
        <v>537</v>
      </c>
      <c r="H430" s="17" t="s">
        <v>828</v>
      </c>
      <c r="I430" s="17">
        <v>5</v>
      </c>
      <c r="J430" s="18">
        <f t="shared" si="12"/>
        <v>0</v>
      </c>
      <c r="K430" s="18">
        <f t="shared" si="13"/>
        <v>9</v>
      </c>
      <c r="L430" s="20">
        <f>IF(H430="Shipped",'Capacity &amp; Cost Dashboard'!D27+'Capacity &amp; Cost Dashboard'!D28*D430*INDEX('Capacity &amp; Cost Dashboard'!$C$31:$C$38,MATCH(INDEX(Products!$C$2:$C$31,MATCH(C430,Products!$A$2:$A$31,0)),'Capacity &amp; Cost Dashboard'!$B$31:$B$38,0)),0)</f>
        <v>11.78</v>
      </c>
    </row>
    <row r="431" spans="1:12" ht="18" x14ac:dyDescent="0.2">
      <c r="A431" s="17">
        <v>1021</v>
      </c>
      <c r="B431" s="17" t="s">
        <v>841</v>
      </c>
      <c r="C431" s="17" t="s">
        <v>141</v>
      </c>
      <c r="D431" s="17">
        <v>13</v>
      </c>
      <c r="E431" s="17" t="s">
        <v>181</v>
      </c>
      <c r="F431" s="17" t="s">
        <v>524</v>
      </c>
      <c r="G431" s="17" t="s">
        <v>524</v>
      </c>
      <c r="H431" s="17" t="s">
        <v>828</v>
      </c>
      <c r="I431" s="17">
        <v>5</v>
      </c>
      <c r="J431" s="18">
        <f t="shared" si="12"/>
        <v>0</v>
      </c>
      <c r="K431" s="18">
        <f t="shared" si="13"/>
        <v>9</v>
      </c>
      <c r="L431" s="20">
        <f>IF(H431="Shipped",'Capacity &amp; Cost Dashboard'!D27+'Capacity &amp; Cost Dashboard'!D28*D431*INDEX('Capacity &amp; Cost Dashboard'!$C$31:$C$38,MATCH(INDEX(Products!$C$2:$C$31,MATCH(C431,Products!$A$2:$A$31,0)),'Capacity &amp; Cost Dashboard'!$B$31:$B$38,0)),0)</f>
        <v>9.7550000000000008</v>
      </c>
    </row>
    <row r="432" spans="1:12" ht="18" x14ac:dyDescent="0.2">
      <c r="A432" s="17">
        <v>1022</v>
      </c>
      <c r="B432" s="17" t="s">
        <v>844</v>
      </c>
      <c r="C432" s="17" t="s">
        <v>145</v>
      </c>
      <c r="D432" s="17">
        <v>10</v>
      </c>
      <c r="E432" s="17" t="s">
        <v>501</v>
      </c>
      <c r="F432" s="17" t="s">
        <v>537</v>
      </c>
      <c r="G432" s="17" t="s">
        <v>537</v>
      </c>
      <c r="H432" s="17" t="s">
        <v>828</v>
      </c>
      <c r="I432" s="17">
        <v>4</v>
      </c>
      <c r="J432" s="18">
        <f t="shared" si="12"/>
        <v>0</v>
      </c>
      <c r="K432" s="18">
        <f t="shared" si="13"/>
        <v>9</v>
      </c>
      <c r="L432" s="20">
        <f>IF(H432="Shipped",'Capacity &amp; Cost Dashboard'!D27+'Capacity &amp; Cost Dashboard'!D28*D432*INDEX('Capacity &amp; Cost Dashboard'!$C$31:$C$38,MATCH(INDEX(Products!$C$2:$C$31,MATCH(C432,Products!$A$2:$A$31,0)),'Capacity &amp; Cost Dashboard'!$B$31:$B$38,0)),0)</f>
        <v>9.35</v>
      </c>
    </row>
    <row r="433" spans="1:12" ht="18" x14ac:dyDescent="0.2">
      <c r="A433" s="17">
        <v>1023</v>
      </c>
      <c r="B433" s="17" t="s">
        <v>841</v>
      </c>
      <c r="C433" s="17" t="s">
        <v>104</v>
      </c>
      <c r="D433" s="17">
        <v>12</v>
      </c>
      <c r="E433" s="17" t="s">
        <v>181</v>
      </c>
      <c r="F433" s="17" t="s">
        <v>525</v>
      </c>
      <c r="G433" s="17" t="s">
        <v>494</v>
      </c>
      <c r="H433" s="17" t="s">
        <v>828</v>
      </c>
      <c r="I433" s="17">
        <v>5</v>
      </c>
      <c r="J433" s="18">
        <f t="shared" si="12"/>
        <v>0</v>
      </c>
      <c r="K433" s="18">
        <f t="shared" si="13"/>
        <v>9</v>
      </c>
      <c r="L433" s="20">
        <f>IF(H433="Shipped",'Capacity &amp; Cost Dashboard'!D27+'Capacity &amp; Cost Dashboard'!D28*D433*INDEX('Capacity &amp; Cost Dashboard'!$C$31:$C$38,MATCH(INDEX(Products!$C$2:$C$31,MATCH(C433,Products!$A$2:$A$31,0)),'Capacity &amp; Cost Dashboard'!$B$31:$B$38,0)),0)</f>
        <v>35</v>
      </c>
    </row>
    <row r="434" spans="1:12" ht="18" x14ac:dyDescent="0.2">
      <c r="A434" s="17">
        <v>1024</v>
      </c>
      <c r="B434" s="17" t="s">
        <v>835</v>
      </c>
      <c r="C434" s="17" t="s">
        <v>147</v>
      </c>
      <c r="D434" s="17">
        <v>20</v>
      </c>
      <c r="E434" s="17" t="s">
        <v>501</v>
      </c>
      <c r="F434" s="17" t="s">
        <v>524</v>
      </c>
      <c r="G434" s="17" t="s">
        <v>524</v>
      </c>
      <c r="H434" s="17" t="s">
        <v>828</v>
      </c>
      <c r="I434" s="17">
        <v>5</v>
      </c>
      <c r="J434" s="18">
        <f t="shared" si="12"/>
        <v>0</v>
      </c>
      <c r="K434" s="18">
        <f t="shared" si="13"/>
        <v>9</v>
      </c>
      <c r="L434" s="20">
        <f>IF(H434="Shipped",'Capacity &amp; Cost Dashboard'!D27+'Capacity &amp; Cost Dashboard'!D28*D434*INDEX('Capacity &amp; Cost Dashboard'!$C$31:$C$38,MATCH(INDEX(Products!$C$2:$C$31,MATCH(C434,Products!$A$2:$A$31,0)),'Capacity &amp; Cost Dashboard'!$B$31:$B$38,0)),0)</f>
        <v>10.7</v>
      </c>
    </row>
    <row r="435" spans="1:12" ht="18" x14ac:dyDescent="0.2">
      <c r="A435" s="17">
        <v>1025</v>
      </c>
      <c r="B435" s="17" t="s">
        <v>826</v>
      </c>
      <c r="C435" s="17" t="s">
        <v>123</v>
      </c>
      <c r="D435" s="17">
        <v>9</v>
      </c>
      <c r="E435" s="17" t="s">
        <v>181</v>
      </c>
      <c r="F435" s="17" t="s">
        <v>494</v>
      </c>
      <c r="G435" s="17" t="s">
        <v>494</v>
      </c>
      <c r="H435" s="17" t="s">
        <v>828</v>
      </c>
      <c r="I435" s="17">
        <v>5</v>
      </c>
      <c r="J435" s="18">
        <f t="shared" si="12"/>
        <v>0</v>
      </c>
      <c r="K435" s="18">
        <f t="shared" si="13"/>
        <v>9</v>
      </c>
      <c r="L435" s="20">
        <f>IF(H435="Shipped",'Capacity &amp; Cost Dashboard'!D27+'Capacity &amp; Cost Dashboard'!D28*D435*INDEX('Capacity &amp; Cost Dashboard'!$C$31:$C$38,MATCH(INDEX(Products!$C$2:$C$31,MATCH(C435,Products!$A$2:$A$31,0)),'Capacity &amp; Cost Dashboard'!$B$31:$B$38,0)),0)</f>
        <v>12.05</v>
      </c>
    </row>
    <row r="436" spans="1:12" ht="18" x14ac:dyDescent="0.2">
      <c r="A436" s="17">
        <v>1026</v>
      </c>
      <c r="B436" s="17" t="s">
        <v>851</v>
      </c>
      <c r="C436" s="17" t="s">
        <v>143</v>
      </c>
      <c r="D436" s="17">
        <v>10</v>
      </c>
      <c r="E436" s="17" t="s">
        <v>517</v>
      </c>
      <c r="F436" s="17" t="s">
        <v>537</v>
      </c>
      <c r="G436" s="17" t="s">
        <v>537</v>
      </c>
      <c r="H436" s="17" t="s">
        <v>828</v>
      </c>
      <c r="I436" s="17">
        <v>5</v>
      </c>
      <c r="J436" s="18">
        <f t="shared" si="12"/>
        <v>0</v>
      </c>
      <c r="K436" s="18">
        <f t="shared" si="13"/>
        <v>9</v>
      </c>
      <c r="L436" s="20">
        <f>IF(H436="Shipped",'Capacity &amp; Cost Dashboard'!D27+'Capacity &amp; Cost Dashboard'!D28*D436*INDEX('Capacity &amp; Cost Dashboard'!$C$31:$C$38,MATCH(INDEX(Products!$C$2:$C$31,MATCH(C436,Products!$A$2:$A$31,0)),'Capacity &amp; Cost Dashboard'!$B$31:$B$38,0)),0)</f>
        <v>9.35</v>
      </c>
    </row>
    <row r="437" spans="1:12" ht="18" x14ac:dyDescent="0.2">
      <c r="A437" s="17">
        <v>1027</v>
      </c>
      <c r="B437" s="17" t="s">
        <v>843</v>
      </c>
      <c r="C437" s="17" t="s">
        <v>118</v>
      </c>
      <c r="D437" s="17">
        <v>5</v>
      </c>
      <c r="E437" s="17" t="s">
        <v>517</v>
      </c>
      <c r="F437" s="17" t="s">
        <v>537</v>
      </c>
      <c r="G437" s="17" t="s">
        <v>537</v>
      </c>
      <c r="H437" s="17" t="s">
        <v>828</v>
      </c>
      <c r="I437" s="17">
        <v>4</v>
      </c>
      <c r="J437" s="18">
        <f t="shared" si="12"/>
        <v>0</v>
      </c>
      <c r="K437" s="18">
        <f t="shared" si="13"/>
        <v>9</v>
      </c>
      <c r="L437" s="20">
        <f>IF(H437="Shipped",'Capacity &amp; Cost Dashboard'!D27+'Capacity &amp; Cost Dashboard'!D28*D437*INDEX('Capacity &amp; Cost Dashboard'!$C$31:$C$38,MATCH(INDEX(Products!$C$2:$C$31,MATCH(C437,Products!$A$2:$A$31,0)),'Capacity &amp; Cost Dashboard'!$B$31:$B$38,0)),0)</f>
        <v>12.5</v>
      </c>
    </row>
    <row r="438" spans="1:12" ht="18" x14ac:dyDescent="0.2">
      <c r="A438" s="17">
        <v>1028</v>
      </c>
      <c r="B438" s="17" t="s">
        <v>849</v>
      </c>
      <c r="C438" s="17" t="s">
        <v>159</v>
      </c>
      <c r="D438" s="17">
        <v>2</v>
      </c>
      <c r="E438" s="17" t="s">
        <v>181</v>
      </c>
      <c r="F438" s="17" t="s">
        <v>524</v>
      </c>
      <c r="G438" s="17" t="s">
        <v>525</v>
      </c>
      <c r="H438" s="17" t="s">
        <v>828</v>
      </c>
      <c r="I438" s="17">
        <v>4</v>
      </c>
      <c r="J438" s="18">
        <f t="shared" si="12"/>
        <v>0</v>
      </c>
      <c r="K438" s="18">
        <f t="shared" si="13"/>
        <v>9</v>
      </c>
      <c r="L438" s="20">
        <f>IF(H438="Shipped",'Capacity &amp; Cost Dashboard'!D27+'Capacity &amp; Cost Dashboard'!D28*D438*INDEX('Capacity &amp; Cost Dashboard'!$C$31:$C$38,MATCH(INDEX(Products!$C$2:$C$31,MATCH(C438,Products!$A$2:$A$31,0)),'Capacity &amp; Cost Dashboard'!$B$31:$B$38,0)),0)</f>
        <v>10.7</v>
      </c>
    </row>
    <row r="439" spans="1:12" ht="18" x14ac:dyDescent="0.2">
      <c r="A439" s="17">
        <v>1029</v>
      </c>
      <c r="B439" s="17" t="s">
        <v>830</v>
      </c>
      <c r="C439" s="17" t="s">
        <v>154</v>
      </c>
      <c r="D439" s="17">
        <v>5</v>
      </c>
      <c r="E439" s="17" t="s">
        <v>517</v>
      </c>
      <c r="F439" s="17" t="s">
        <v>537</v>
      </c>
      <c r="G439" s="17" t="s">
        <v>524</v>
      </c>
      <c r="H439" s="17" t="s">
        <v>828</v>
      </c>
      <c r="I439" s="17">
        <v>4</v>
      </c>
      <c r="J439" s="18">
        <f t="shared" si="12"/>
        <v>0</v>
      </c>
      <c r="K439" s="18">
        <f t="shared" si="13"/>
        <v>9</v>
      </c>
      <c r="L439" s="20">
        <f>IF(H439="Shipped",'Capacity &amp; Cost Dashboard'!D27+'Capacity &amp; Cost Dashboard'!D28*D439*INDEX('Capacity &amp; Cost Dashboard'!$C$31:$C$38,MATCH(INDEX(Products!$C$2:$C$31,MATCH(C439,Products!$A$2:$A$31,0)),'Capacity &amp; Cost Dashboard'!$B$31:$B$38,0)),0)</f>
        <v>11.375</v>
      </c>
    </row>
    <row r="440" spans="1:12" ht="18" x14ac:dyDescent="0.2">
      <c r="A440" s="17">
        <v>1030</v>
      </c>
      <c r="B440" s="17" t="s">
        <v>839</v>
      </c>
      <c r="C440" s="17" t="s">
        <v>111</v>
      </c>
      <c r="D440" s="17">
        <v>24</v>
      </c>
      <c r="E440" s="17" t="s">
        <v>181</v>
      </c>
      <c r="F440" s="17" t="s">
        <v>524</v>
      </c>
      <c r="G440" s="17" t="s">
        <v>553</v>
      </c>
      <c r="H440" s="17" t="s">
        <v>828</v>
      </c>
      <c r="I440" s="17">
        <v>3</v>
      </c>
      <c r="J440" s="18">
        <f t="shared" si="12"/>
        <v>1</v>
      </c>
      <c r="K440" s="18">
        <f t="shared" si="13"/>
        <v>9</v>
      </c>
      <c r="L440" s="20">
        <f>IF(H440="Shipped",'Capacity &amp; Cost Dashboard'!D27+'Capacity &amp; Cost Dashboard'!D28*D440*INDEX('Capacity &amp; Cost Dashboard'!$C$31:$C$38,MATCH(INDEX(Products!$C$2:$C$31,MATCH(C440,Products!$A$2:$A$31,0)),'Capacity &amp; Cost Dashboard'!$B$31:$B$38,0)),0)</f>
        <v>62</v>
      </c>
    </row>
    <row r="441" spans="1:12" ht="18" x14ac:dyDescent="0.2">
      <c r="A441" s="17">
        <v>1031</v>
      </c>
      <c r="B441" s="17" t="s">
        <v>850</v>
      </c>
      <c r="C441" s="17" t="s">
        <v>152</v>
      </c>
      <c r="D441" s="17">
        <v>3</v>
      </c>
      <c r="E441" s="17" t="s">
        <v>494</v>
      </c>
      <c r="F441" s="17" t="s">
        <v>502</v>
      </c>
      <c r="G441" s="17" t="s">
        <v>502</v>
      </c>
      <c r="H441" s="17" t="s">
        <v>828</v>
      </c>
      <c r="I441" s="17">
        <v>5</v>
      </c>
      <c r="J441" s="18">
        <f t="shared" si="12"/>
        <v>0</v>
      </c>
      <c r="K441" s="18">
        <f t="shared" si="13"/>
        <v>9</v>
      </c>
      <c r="L441" s="20">
        <f>IF(H441="Shipped",'Capacity &amp; Cost Dashboard'!D27+'Capacity &amp; Cost Dashboard'!D28*D441*INDEX('Capacity &amp; Cost Dashboard'!$C$31:$C$38,MATCH(INDEX(Products!$C$2:$C$31,MATCH(C441,Products!$A$2:$A$31,0)),'Capacity &amp; Cost Dashboard'!$B$31:$B$38,0)),0)</f>
        <v>10.025</v>
      </c>
    </row>
    <row r="442" spans="1:12" ht="18" x14ac:dyDescent="0.2">
      <c r="A442" s="17">
        <v>1032</v>
      </c>
      <c r="B442" s="17" t="s">
        <v>835</v>
      </c>
      <c r="C442" s="17" t="s">
        <v>125</v>
      </c>
      <c r="D442" s="17">
        <v>6</v>
      </c>
      <c r="E442" s="17" t="s">
        <v>181</v>
      </c>
      <c r="F442" s="17" t="s">
        <v>524</v>
      </c>
      <c r="G442" s="17" t="s">
        <v>182</v>
      </c>
      <c r="H442" s="17" t="s">
        <v>828</v>
      </c>
      <c r="I442" s="17">
        <v>3</v>
      </c>
      <c r="J442" s="18">
        <f t="shared" si="12"/>
        <v>1</v>
      </c>
      <c r="K442" s="18">
        <f t="shared" si="13"/>
        <v>9</v>
      </c>
      <c r="L442" s="20">
        <f>IF(H442="Shipped",'Capacity &amp; Cost Dashboard'!D27+'Capacity &amp; Cost Dashboard'!D28*D442*INDEX('Capacity &amp; Cost Dashboard'!$C$31:$C$38,MATCH(INDEX(Products!$C$2:$C$31,MATCH(C442,Products!$A$2:$A$31,0)),'Capacity &amp; Cost Dashboard'!$B$31:$B$38,0)),0)</f>
        <v>10.7</v>
      </c>
    </row>
    <row r="443" spans="1:12" ht="18" x14ac:dyDescent="0.2">
      <c r="A443" s="17">
        <v>1033</v>
      </c>
      <c r="B443" s="17" t="s">
        <v>846</v>
      </c>
      <c r="C443" s="17" t="s">
        <v>123</v>
      </c>
      <c r="D443" s="17">
        <v>5</v>
      </c>
      <c r="E443" s="17" t="s">
        <v>501</v>
      </c>
      <c r="F443" s="17" t="s">
        <v>537</v>
      </c>
      <c r="G443" s="17" t="s">
        <v>524</v>
      </c>
      <c r="H443" s="17" t="s">
        <v>828</v>
      </c>
      <c r="I443" s="17">
        <v>5</v>
      </c>
      <c r="J443" s="18">
        <f t="shared" si="12"/>
        <v>0</v>
      </c>
      <c r="K443" s="18">
        <f t="shared" si="13"/>
        <v>9</v>
      </c>
      <c r="L443" s="20">
        <f>IF(H443="Shipped",'Capacity &amp; Cost Dashboard'!D27+'Capacity &amp; Cost Dashboard'!D28*D443*INDEX('Capacity &amp; Cost Dashboard'!$C$31:$C$38,MATCH(INDEX(Products!$C$2:$C$31,MATCH(C443,Products!$A$2:$A$31,0)),'Capacity &amp; Cost Dashboard'!$B$31:$B$38,0)),0)</f>
        <v>10.25</v>
      </c>
    </row>
    <row r="444" spans="1:12" ht="18" x14ac:dyDescent="0.2">
      <c r="A444" s="17">
        <v>1034</v>
      </c>
      <c r="B444" s="17" t="s">
        <v>853</v>
      </c>
      <c r="C444" s="17" t="s">
        <v>152</v>
      </c>
      <c r="D444" s="17">
        <v>8</v>
      </c>
      <c r="E444" s="17" t="s">
        <v>517</v>
      </c>
      <c r="F444" s="17" t="s">
        <v>537</v>
      </c>
      <c r="G444" s="17" t="s">
        <v>540</v>
      </c>
      <c r="H444" s="17" t="s">
        <v>828</v>
      </c>
      <c r="I444" s="17">
        <v>4</v>
      </c>
      <c r="J444" s="18">
        <f t="shared" si="12"/>
        <v>1</v>
      </c>
      <c r="K444" s="18">
        <f t="shared" si="13"/>
        <v>9</v>
      </c>
      <c r="L444" s="20">
        <f>IF(H444="Shipped",'Capacity &amp; Cost Dashboard'!D27+'Capacity &amp; Cost Dashboard'!D28*D444*INDEX('Capacity &amp; Cost Dashboard'!$C$31:$C$38,MATCH(INDEX(Products!$C$2:$C$31,MATCH(C444,Products!$A$2:$A$31,0)),'Capacity &amp; Cost Dashboard'!$B$31:$B$38,0)),0)</f>
        <v>13.4</v>
      </c>
    </row>
    <row r="445" spans="1:12" ht="18" x14ac:dyDescent="0.2">
      <c r="A445" s="17">
        <v>1035</v>
      </c>
      <c r="B445" s="17" t="s">
        <v>850</v>
      </c>
      <c r="C445" s="17" t="s">
        <v>147</v>
      </c>
      <c r="D445" s="17">
        <v>10</v>
      </c>
      <c r="E445" s="17" t="s">
        <v>517</v>
      </c>
      <c r="F445" s="17" t="s">
        <v>537</v>
      </c>
      <c r="G445" s="17" t="s">
        <v>553</v>
      </c>
      <c r="H445" s="17" t="s">
        <v>828</v>
      </c>
      <c r="I445" s="17">
        <v>4</v>
      </c>
      <c r="J445" s="18">
        <f t="shared" si="12"/>
        <v>1</v>
      </c>
      <c r="K445" s="18">
        <f t="shared" si="13"/>
        <v>9</v>
      </c>
      <c r="L445" s="20">
        <f>IF(H445="Shipped",'Capacity &amp; Cost Dashboard'!D27+'Capacity &amp; Cost Dashboard'!D28*D445*INDEX('Capacity &amp; Cost Dashboard'!$C$31:$C$38,MATCH(INDEX(Products!$C$2:$C$31,MATCH(C445,Products!$A$2:$A$31,0)),'Capacity &amp; Cost Dashboard'!$B$31:$B$38,0)),0)</f>
        <v>9.35</v>
      </c>
    </row>
    <row r="446" spans="1:12" ht="18" x14ac:dyDescent="0.2">
      <c r="A446" s="17">
        <v>1036</v>
      </c>
      <c r="B446" s="17" t="s">
        <v>851</v>
      </c>
      <c r="C446" s="17" t="s">
        <v>111</v>
      </c>
      <c r="D446" s="17">
        <v>1</v>
      </c>
      <c r="E446" s="17" t="s">
        <v>525</v>
      </c>
      <c r="F446" s="17" t="s">
        <v>502</v>
      </c>
      <c r="G446" s="17" t="s">
        <v>182</v>
      </c>
      <c r="H446" s="17" t="s">
        <v>828</v>
      </c>
      <c r="I446" s="17">
        <v>4</v>
      </c>
      <c r="J446" s="18">
        <f t="shared" si="12"/>
        <v>0</v>
      </c>
      <c r="K446" s="18">
        <f t="shared" si="13"/>
        <v>9</v>
      </c>
      <c r="L446" s="20">
        <f>IF(H446="Shipped",'Capacity &amp; Cost Dashboard'!D27+'Capacity &amp; Cost Dashboard'!D28*D446*INDEX('Capacity &amp; Cost Dashboard'!$C$31:$C$38,MATCH(INDEX(Products!$C$2:$C$31,MATCH(C446,Products!$A$2:$A$31,0)),'Capacity &amp; Cost Dashboard'!$B$31:$B$38,0)),0)</f>
        <v>10.25</v>
      </c>
    </row>
    <row r="447" spans="1:12" ht="18" x14ac:dyDescent="0.2">
      <c r="A447" s="17">
        <v>1037</v>
      </c>
      <c r="B447" s="17" t="s">
        <v>836</v>
      </c>
      <c r="C447" s="17" t="s">
        <v>120</v>
      </c>
      <c r="D447" s="17">
        <v>10</v>
      </c>
      <c r="E447" s="17" t="s">
        <v>525</v>
      </c>
      <c r="F447" s="17" t="s">
        <v>502</v>
      </c>
      <c r="G447" s="17" t="s">
        <v>182</v>
      </c>
      <c r="H447" s="17" t="s">
        <v>828</v>
      </c>
      <c r="I447" s="17">
        <v>5</v>
      </c>
      <c r="J447" s="18">
        <f t="shared" si="12"/>
        <v>0</v>
      </c>
      <c r="K447" s="18">
        <f t="shared" si="13"/>
        <v>9</v>
      </c>
      <c r="L447" s="20">
        <f>IF(H447="Shipped",'Capacity &amp; Cost Dashboard'!D27+'Capacity &amp; Cost Dashboard'!D28*D447*INDEX('Capacity &amp; Cost Dashboard'!$C$31:$C$38,MATCH(INDEX(Products!$C$2:$C$31,MATCH(C447,Products!$A$2:$A$31,0)),'Capacity &amp; Cost Dashboard'!$B$31:$B$38,0)),0)</f>
        <v>12.5</v>
      </c>
    </row>
    <row r="448" spans="1:12" ht="18" x14ac:dyDescent="0.2">
      <c r="A448" s="17">
        <v>1038</v>
      </c>
      <c r="B448" s="17" t="s">
        <v>837</v>
      </c>
      <c r="C448" s="17" t="s">
        <v>95</v>
      </c>
      <c r="D448" s="17">
        <v>7</v>
      </c>
      <c r="E448" s="17" t="s">
        <v>494</v>
      </c>
      <c r="F448" s="17" t="s">
        <v>502</v>
      </c>
      <c r="G448" s="17" t="s">
        <v>540</v>
      </c>
      <c r="H448" s="17" t="s">
        <v>828</v>
      </c>
      <c r="I448" s="17">
        <v>3</v>
      </c>
      <c r="J448" s="18">
        <f t="shared" si="12"/>
        <v>1</v>
      </c>
      <c r="K448" s="18">
        <f t="shared" si="13"/>
        <v>9</v>
      </c>
      <c r="L448" s="20" t="e">
        <f>IF(H448="Shipped",'Capacity &amp; Cost Dashboard'!D27+'Capacity &amp; Cost Dashboard'!D28*D448*INDEX('Capacity &amp; Cost Dashboard'!$C$31:$C$38,MATCH(INDEX(Products!$C$2:$C$31,MATCH(C448,Products!$A$2:$A$31,0)),'Capacity &amp; Cost Dashboard'!$B$31:$B$38,0)),0)</f>
        <v>#N/A</v>
      </c>
    </row>
    <row r="449" spans="1:12" ht="18" x14ac:dyDescent="0.2">
      <c r="A449" s="17">
        <v>1039</v>
      </c>
      <c r="B449" s="17" t="s">
        <v>849</v>
      </c>
      <c r="C449" s="17" t="s">
        <v>147</v>
      </c>
      <c r="D449" s="17">
        <v>20</v>
      </c>
      <c r="E449" s="17" t="s">
        <v>517</v>
      </c>
      <c r="F449" s="17" t="s">
        <v>524</v>
      </c>
      <c r="G449" s="17" t="s">
        <v>525</v>
      </c>
      <c r="H449" s="17" t="s">
        <v>828</v>
      </c>
      <c r="I449" s="17">
        <v>4</v>
      </c>
      <c r="J449" s="18">
        <f t="shared" si="12"/>
        <v>0</v>
      </c>
      <c r="K449" s="18">
        <f t="shared" si="13"/>
        <v>9</v>
      </c>
      <c r="L449" s="20">
        <f>IF(H449="Shipped",'Capacity &amp; Cost Dashboard'!D27+'Capacity &amp; Cost Dashboard'!D28*D449*INDEX('Capacity &amp; Cost Dashboard'!$C$31:$C$38,MATCH(INDEX(Products!$C$2:$C$31,MATCH(C449,Products!$A$2:$A$31,0)),'Capacity &amp; Cost Dashboard'!$B$31:$B$38,0)),0)</f>
        <v>10.7</v>
      </c>
    </row>
    <row r="450" spans="1:12" ht="18" x14ac:dyDescent="0.2">
      <c r="A450" s="17">
        <v>1040</v>
      </c>
      <c r="B450" s="17" t="s">
        <v>845</v>
      </c>
      <c r="C450" s="17" t="s">
        <v>116</v>
      </c>
      <c r="D450" s="17">
        <v>7</v>
      </c>
      <c r="E450" s="17" t="s">
        <v>501</v>
      </c>
      <c r="F450" s="17" t="s">
        <v>182</v>
      </c>
      <c r="G450" s="17" t="s">
        <v>182</v>
      </c>
      <c r="H450" s="17" t="s">
        <v>828</v>
      </c>
      <c r="I450" s="17">
        <v>4</v>
      </c>
      <c r="J450" s="18">
        <f t="shared" ref="J450:J513" si="14">IF(H450="Shipped",IF(G450&gt;F450,1,0),"")</f>
        <v>0</v>
      </c>
      <c r="K450" s="18">
        <f t="shared" ref="K450:K513" si="15">INT((DATEVALUE(E450)-DATE(2026,4,6))/7)</f>
        <v>9</v>
      </c>
      <c r="L450" s="20">
        <f>IF(H450="Shipped",'Capacity &amp; Cost Dashboard'!D27+'Capacity &amp; Cost Dashboard'!D28*D450*INDEX('Capacity &amp; Cost Dashboard'!$C$31:$C$38,MATCH(INDEX(Products!$C$2:$C$31,MATCH(C450,Products!$A$2:$A$31,0)),'Capacity &amp; Cost Dashboard'!$B$31:$B$38,0)),0)</f>
        <v>14.3</v>
      </c>
    </row>
    <row r="451" spans="1:12" ht="18" x14ac:dyDescent="0.2">
      <c r="A451" s="17">
        <v>1041</v>
      </c>
      <c r="B451" s="17" t="s">
        <v>843</v>
      </c>
      <c r="C451" s="17" t="s">
        <v>127</v>
      </c>
      <c r="D451" s="17">
        <v>9</v>
      </c>
      <c r="E451" s="17" t="s">
        <v>181</v>
      </c>
      <c r="F451" s="17" t="s">
        <v>494</v>
      </c>
      <c r="G451" s="17" t="s">
        <v>494</v>
      </c>
      <c r="H451" s="17" t="s">
        <v>828</v>
      </c>
      <c r="I451" s="17">
        <v>5</v>
      </c>
      <c r="J451" s="18">
        <f t="shared" si="14"/>
        <v>0</v>
      </c>
      <c r="K451" s="18">
        <f t="shared" si="15"/>
        <v>9</v>
      </c>
      <c r="L451" s="20">
        <f>IF(H451="Shipped",'Capacity &amp; Cost Dashboard'!D27+'Capacity &amp; Cost Dashboard'!D28*D451*INDEX('Capacity &amp; Cost Dashboard'!$C$31:$C$38,MATCH(INDEX(Products!$C$2:$C$31,MATCH(C451,Products!$A$2:$A$31,0)),'Capacity &amp; Cost Dashboard'!$B$31:$B$38,0)),0)</f>
        <v>16.100000000000001</v>
      </c>
    </row>
    <row r="452" spans="1:12" ht="18" x14ac:dyDescent="0.2">
      <c r="A452" s="17">
        <v>1042</v>
      </c>
      <c r="B452" s="17" t="s">
        <v>826</v>
      </c>
      <c r="C452" s="17" t="s">
        <v>98</v>
      </c>
      <c r="D452" s="17">
        <v>16</v>
      </c>
      <c r="E452" s="17" t="s">
        <v>517</v>
      </c>
      <c r="F452" s="17" t="s">
        <v>524</v>
      </c>
      <c r="G452" s="17" t="s">
        <v>537</v>
      </c>
      <c r="H452" s="17" t="s">
        <v>828</v>
      </c>
      <c r="I452" s="17">
        <v>3</v>
      </c>
      <c r="J452" s="18">
        <f t="shared" si="14"/>
        <v>1</v>
      </c>
      <c r="K452" s="18">
        <f t="shared" si="15"/>
        <v>9</v>
      </c>
      <c r="L452" s="20" t="e">
        <f>IF(H452="Shipped",'Capacity &amp; Cost Dashboard'!D27+'Capacity &amp; Cost Dashboard'!D28*D452*INDEX('Capacity &amp; Cost Dashboard'!$C$31:$C$38,MATCH(INDEX(Products!$C$2:$C$31,MATCH(C452,Products!$A$2:$A$31,0)),'Capacity &amp; Cost Dashboard'!$B$31:$B$38,0)),0)</f>
        <v>#N/A</v>
      </c>
    </row>
    <row r="453" spans="1:12" ht="18" x14ac:dyDescent="0.2">
      <c r="A453" s="17">
        <v>1043</v>
      </c>
      <c r="B453" s="17" t="s">
        <v>855</v>
      </c>
      <c r="C453" s="17" t="s">
        <v>102</v>
      </c>
      <c r="D453" s="17">
        <v>3</v>
      </c>
      <c r="E453" s="17" t="s">
        <v>181</v>
      </c>
      <c r="F453" s="17" t="s">
        <v>524</v>
      </c>
      <c r="G453" s="17" t="s">
        <v>524</v>
      </c>
      <c r="H453" s="17" t="s">
        <v>828</v>
      </c>
      <c r="I453" s="17">
        <v>5</v>
      </c>
      <c r="J453" s="18">
        <f t="shared" si="14"/>
        <v>0</v>
      </c>
      <c r="K453" s="18">
        <f t="shared" si="15"/>
        <v>9</v>
      </c>
      <c r="L453" s="20" t="e">
        <f>IF(H453="Shipped",'Capacity &amp; Cost Dashboard'!D27+'Capacity &amp; Cost Dashboard'!D28*D453*INDEX('Capacity &amp; Cost Dashboard'!$C$31:$C$38,MATCH(INDEX(Products!$C$2:$C$31,MATCH(C453,Products!$A$2:$A$31,0)),'Capacity &amp; Cost Dashboard'!$B$31:$B$38,0)),0)</f>
        <v>#N/A</v>
      </c>
    </row>
    <row r="454" spans="1:12" ht="18" x14ac:dyDescent="0.2">
      <c r="A454" s="17">
        <v>1044</v>
      </c>
      <c r="B454" s="17" t="s">
        <v>838</v>
      </c>
      <c r="C454" s="17" t="s">
        <v>120</v>
      </c>
      <c r="D454" s="17">
        <v>12</v>
      </c>
      <c r="E454" s="17" t="s">
        <v>181</v>
      </c>
      <c r="F454" s="17" t="s">
        <v>524</v>
      </c>
      <c r="G454" s="17" t="s">
        <v>525</v>
      </c>
      <c r="H454" s="17" t="s">
        <v>828</v>
      </c>
      <c r="I454" s="17">
        <v>5</v>
      </c>
      <c r="J454" s="18">
        <f t="shared" si="14"/>
        <v>0</v>
      </c>
      <c r="K454" s="18">
        <f t="shared" si="15"/>
        <v>9</v>
      </c>
      <c r="L454" s="20">
        <f>IF(H454="Shipped",'Capacity &amp; Cost Dashboard'!D27+'Capacity &amp; Cost Dashboard'!D28*D454*INDEX('Capacity &amp; Cost Dashboard'!$C$31:$C$38,MATCH(INDEX(Products!$C$2:$C$31,MATCH(C454,Products!$A$2:$A$31,0)),'Capacity &amp; Cost Dashboard'!$B$31:$B$38,0)),0)</f>
        <v>13.4</v>
      </c>
    </row>
    <row r="455" spans="1:12" ht="18" x14ac:dyDescent="0.2">
      <c r="A455" s="17">
        <v>1045</v>
      </c>
      <c r="B455" s="17" t="s">
        <v>829</v>
      </c>
      <c r="C455" s="17" t="s">
        <v>111</v>
      </c>
      <c r="D455" s="17">
        <v>22</v>
      </c>
      <c r="E455" s="17" t="s">
        <v>494</v>
      </c>
      <c r="F455" s="17" t="s">
        <v>502</v>
      </c>
      <c r="G455" s="17" t="s">
        <v>502</v>
      </c>
      <c r="H455" s="17" t="s">
        <v>828</v>
      </c>
      <c r="I455" s="17">
        <v>5</v>
      </c>
      <c r="J455" s="18">
        <f t="shared" si="14"/>
        <v>0</v>
      </c>
      <c r="K455" s="18">
        <f t="shared" si="15"/>
        <v>9</v>
      </c>
      <c r="L455" s="20">
        <f>IF(H455="Shipped",'Capacity &amp; Cost Dashboard'!D27+'Capacity &amp; Cost Dashboard'!D28*D455*INDEX('Capacity &amp; Cost Dashboard'!$C$31:$C$38,MATCH(INDEX(Products!$C$2:$C$31,MATCH(C455,Products!$A$2:$A$31,0)),'Capacity &amp; Cost Dashboard'!$B$31:$B$38,0)),0)</f>
        <v>57.5</v>
      </c>
    </row>
    <row r="456" spans="1:12" ht="18" x14ac:dyDescent="0.2">
      <c r="A456" s="17">
        <v>1046</v>
      </c>
      <c r="B456" s="17" t="s">
        <v>835</v>
      </c>
      <c r="C456" s="17" t="s">
        <v>109</v>
      </c>
      <c r="D456" s="17">
        <v>6</v>
      </c>
      <c r="E456" s="17" t="s">
        <v>517</v>
      </c>
      <c r="F456" s="17" t="s">
        <v>524</v>
      </c>
      <c r="G456" s="17" t="s">
        <v>532</v>
      </c>
      <c r="H456" s="17" t="s">
        <v>828</v>
      </c>
      <c r="I456" s="17">
        <v>2</v>
      </c>
      <c r="J456" s="18">
        <f t="shared" si="14"/>
        <v>1</v>
      </c>
      <c r="K456" s="18">
        <f t="shared" si="15"/>
        <v>9</v>
      </c>
      <c r="L456" s="20">
        <f>IF(H456="Shipped",'Capacity &amp; Cost Dashboard'!D27+'Capacity &amp; Cost Dashboard'!D28*D456*INDEX('Capacity &amp; Cost Dashboard'!$C$31:$C$38,MATCH(INDEX(Products!$C$2:$C$31,MATCH(C456,Products!$A$2:$A$31,0)),'Capacity &amp; Cost Dashboard'!$B$31:$B$38,0)),0)</f>
        <v>21.5</v>
      </c>
    </row>
    <row r="457" spans="1:12" ht="18" x14ac:dyDescent="0.2">
      <c r="A457" s="17">
        <v>1047</v>
      </c>
      <c r="B457" s="17" t="s">
        <v>846</v>
      </c>
      <c r="C457" s="17" t="s">
        <v>123</v>
      </c>
      <c r="D457" s="17">
        <v>9</v>
      </c>
      <c r="E457" s="17" t="s">
        <v>517</v>
      </c>
      <c r="F457" s="17" t="s">
        <v>537</v>
      </c>
      <c r="G457" s="17" t="s">
        <v>524</v>
      </c>
      <c r="H457" s="17" t="s">
        <v>828</v>
      </c>
      <c r="I457" s="17">
        <v>5</v>
      </c>
      <c r="J457" s="18">
        <f t="shared" si="14"/>
        <v>0</v>
      </c>
      <c r="K457" s="18">
        <f t="shared" si="15"/>
        <v>9</v>
      </c>
      <c r="L457" s="20">
        <f>IF(H457="Shipped",'Capacity &amp; Cost Dashboard'!D27+'Capacity &amp; Cost Dashboard'!D28*D457*INDEX('Capacity &amp; Cost Dashboard'!$C$31:$C$38,MATCH(INDEX(Products!$C$2:$C$31,MATCH(C457,Products!$A$2:$A$31,0)),'Capacity &amp; Cost Dashboard'!$B$31:$B$38,0)),0)</f>
        <v>12.05</v>
      </c>
    </row>
    <row r="458" spans="1:12" ht="18" x14ac:dyDescent="0.2">
      <c r="A458" s="17">
        <v>1048</v>
      </c>
      <c r="B458" s="17" t="s">
        <v>847</v>
      </c>
      <c r="C458" s="17" t="s">
        <v>123</v>
      </c>
      <c r="D458" s="17">
        <v>11</v>
      </c>
      <c r="E458" s="17" t="s">
        <v>501</v>
      </c>
      <c r="F458" s="17" t="s">
        <v>537</v>
      </c>
      <c r="G458" s="17" t="s">
        <v>524</v>
      </c>
      <c r="H458" s="17" t="s">
        <v>828</v>
      </c>
      <c r="I458" s="17">
        <v>5</v>
      </c>
      <c r="J458" s="18">
        <f t="shared" si="14"/>
        <v>0</v>
      </c>
      <c r="K458" s="18">
        <f t="shared" si="15"/>
        <v>9</v>
      </c>
      <c r="L458" s="20">
        <f>IF(H458="Shipped",'Capacity &amp; Cost Dashboard'!D27+'Capacity &amp; Cost Dashboard'!D28*D458*INDEX('Capacity &amp; Cost Dashboard'!$C$31:$C$38,MATCH(INDEX(Products!$C$2:$C$31,MATCH(C458,Products!$A$2:$A$31,0)),'Capacity &amp; Cost Dashboard'!$B$31:$B$38,0)),0)</f>
        <v>12.95</v>
      </c>
    </row>
    <row r="459" spans="1:12" ht="18" x14ac:dyDescent="0.2">
      <c r="A459" s="17">
        <v>1049</v>
      </c>
      <c r="B459" s="17" t="s">
        <v>844</v>
      </c>
      <c r="C459" s="17" t="s">
        <v>152</v>
      </c>
      <c r="D459" s="17">
        <v>1</v>
      </c>
      <c r="E459" s="17" t="s">
        <v>494</v>
      </c>
      <c r="F459" s="17" t="s">
        <v>182</v>
      </c>
      <c r="G459" s="17" t="s">
        <v>537</v>
      </c>
      <c r="H459" s="17" t="s">
        <v>828</v>
      </c>
      <c r="I459" s="17">
        <v>5</v>
      </c>
      <c r="J459" s="18">
        <f t="shared" si="14"/>
        <v>0</v>
      </c>
      <c r="K459" s="18">
        <f t="shared" si="15"/>
        <v>9</v>
      </c>
      <c r="L459" s="20">
        <f>IF(H459="Shipped",'Capacity &amp; Cost Dashboard'!D27+'Capacity &amp; Cost Dashboard'!D28*D459*INDEX('Capacity &amp; Cost Dashboard'!$C$31:$C$38,MATCH(INDEX(Products!$C$2:$C$31,MATCH(C459,Products!$A$2:$A$31,0)),'Capacity &amp; Cost Dashboard'!$B$31:$B$38,0)),0)</f>
        <v>8.6750000000000007</v>
      </c>
    </row>
    <row r="460" spans="1:12" ht="18" x14ac:dyDescent="0.2">
      <c r="A460" s="17">
        <v>1050</v>
      </c>
      <c r="B460" s="17" t="s">
        <v>844</v>
      </c>
      <c r="C460" s="17" t="s">
        <v>136</v>
      </c>
      <c r="D460" s="17">
        <v>7</v>
      </c>
      <c r="E460" s="17" t="s">
        <v>525</v>
      </c>
      <c r="F460" s="17" t="s">
        <v>182</v>
      </c>
      <c r="G460" s="17" t="s">
        <v>537</v>
      </c>
      <c r="H460" s="17" t="s">
        <v>828</v>
      </c>
      <c r="I460" s="17">
        <v>5</v>
      </c>
      <c r="J460" s="18">
        <f t="shared" si="14"/>
        <v>0</v>
      </c>
      <c r="K460" s="18">
        <f t="shared" si="15"/>
        <v>9</v>
      </c>
      <c r="L460" s="20">
        <f>IF(H460="Shipped",'Capacity &amp; Cost Dashboard'!D27+'Capacity &amp; Cost Dashboard'!D28*D460*INDEX('Capacity &amp; Cost Dashboard'!$C$31:$C$38,MATCH(INDEX(Products!$C$2:$C$31,MATCH(C460,Products!$A$2:$A$31,0)),'Capacity &amp; Cost Dashboard'!$B$31:$B$38,0)),0)</f>
        <v>8.9450000000000003</v>
      </c>
    </row>
    <row r="461" spans="1:12" ht="18" x14ac:dyDescent="0.2">
      <c r="A461" s="17">
        <v>1051</v>
      </c>
      <c r="B461" s="17" t="s">
        <v>837</v>
      </c>
      <c r="C461" s="17" t="s">
        <v>100</v>
      </c>
      <c r="D461" s="17">
        <v>6</v>
      </c>
      <c r="E461" s="17" t="s">
        <v>525</v>
      </c>
      <c r="F461" s="17" t="s">
        <v>553</v>
      </c>
      <c r="G461" s="17" t="s">
        <v>502</v>
      </c>
      <c r="H461" s="17" t="s">
        <v>828</v>
      </c>
      <c r="I461" s="17">
        <v>5</v>
      </c>
      <c r="J461" s="18">
        <f t="shared" si="14"/>
        <v>0</v>
      </c>
      <c r="K461" s="18">
        <f t="shared" si="15"/>
        <v>9</v>
      </c>
      <c r="L461" s="20" t="e">
        <f>IF(H461="Shipped",'Capacity &amp; Cost Dashboard'!D27+'Capacity &amp; Cost Dashboard'!D28*D461*INDEX('Capacity &amp; Cost Dashboard'!$C$31:$C$38,MATCH(INDEX(Products!$C$2:$C$31,MATCH(C461,Products!$A$2:$A$31,0)),'Capacity &amp; Cost Dashboard'!$B$31:$B$38,0)),0)</f>
        <v>#N/A</v>
      </c>
    </row>
    <row r="462" spans="1:12" ht="18" x14ac:dyDescent="0.2">
      <c r="A462" s="17">
        <v>1052</v>
      </c>
      <c r="B462" s="17" t="s">
        <v>842</v>
      </c>
      <c r="C462" s="17" t="s">
        <v>123</v>
      </c>
      <c r="D462" s="17">
        <v>13</v>
      </c>
      <c r="E462" s="17" t="s">
        <v>181</v>
      </c>
      <c r="F462" s="17" t="s">
        <v>525</v>
      </c>
      <c r="G462" s="17" t="s">
        <v>525</v>
      </c>
      <c r="H462" s="17" t="s">
        <v>828</v>
      </c>
      <c r="I462" s="17">
        <v>5</v>
      </c>
      <c r="J462" s="18">
        <f t="shared" si="14"/>
        <v>0</v>
      </c>
      <c r="K462" s="18">
        <f t="shared" si="15"/>
        <v>9</v>
      </c>
      <c r="L462" s="20">
        <f>IF(H462="Shipped",'Capacity &amp; Cost Dashboard'!D27+'Capacity &amp; Cost Dashboard'!D28*D462*INDEX('Capacity &amp; Cost Dashboard'!$C$31:$C$38,MATCH(INDEX(Products!$C$2:$C$31,MATCH(C462,Products!$A$2:$A$31,0)),'Capacity &amp; Cost Dashboard'!$B$31:$B$38,0)),0)</f>
        <v>13.850000000000001</v>
      </c>
    </row>
    <row r="463" spans="1:12" ht="18" x14ac:dyDescent="0.2">
      <c r="A463" s="17">
        <v>1053</v>
      </c>
      <c r="B463" s="17" t="s">
        <v>853</v>
      </c>
      <c r="C463" s="17" t="s">
        <v>149</v>
      </c>
      <c r="D463" s="17">
        <v>5</v>
      </c>
      <c r="E463" s="17" t="s">
        <v>181</v>
      </c>
      <c r="F463" s="17" t="s">
        <v>494</v>
      </c>
      <c r="G463" s="17" t="s">
        <v>494</v>
      </c>
      <c r="H463" s="17" t="s">
        <v>828</v>
      </c>
      <c r="I463" s="17">
        <v>5</v>
      </c>
      <c r="J463" s="18">
        <f t="shared" si="14"/>
        <v>0</v>
      </c>
      <c r="K463" s="18">
        <f t="shared" si="15"/>
        <v>9</v>
      </c>
      <c r="L463" s="20">
        <f>IF(H463="Shipped",'Capacity &amp; Cost Dashboard'!D27+'Capacity &amp; Cost Dashboard'!D28*D463*INDEX('Capacity &amp; Cost Dashboard'!$C$31:$C$38,MATCH(INDEX(Products!$C$2:$C$31,MATCH(C463,Products!$A$2:$A$31,0)),'Capacity &amp; Cost Dashboard'!$B$31:$B$38,0)),0)</f>
        <v>11.375</v>
      </c>
    </row>
    <row r="464" spans="1:12" ht="18" x14ac:dyDescent="0.2">
      <c r="A464" s="17">
        <v>1054</v>
      </c>
      <c r="B464" s="17" t="s">
        <v>854</v>
      </c>
      <c r="C464" s="17" t="s">
        <v>143</v>
      </c>
      <c r="D464" s="17">
        <v>26</v>
      </c>
      <c r="E464" s="17" t="s">
        <v>525</v>
      </c>
      <c r="F464" s="17" t="s">
        <v>553</v>
      </c>
      <c r="G464" s="17" t="s">
        <v>553</v>
      </c>
      <c r="H464" s="17" t="s">
        <v>828</v>
      </c>
      <c r="I464" s="17">
        <v>4</v>
      </c>
      <c r="J464" s="18">
        <f t="shared" si="14"/>
        <v>0</v>
      </c>
      <c r="K464" s="18">
        <f t="shared" si="15"/>
        <v>9</v>
      </c>
      <c r="L464" s="20">
        <f>IF(H464="Shipped",'Capacity &amp; Cost Dashboard'!D27+'Capacity &amp; Cost Dashboard'!D28*D464*INDEX('Capacity &amp; Cost Dashboard'!$C$31:$C$38,MATCH(INDEX(Products!$C$2:$C$31,MATCH(C464,Products!$A$2:$A$31,0)),'Capacity &amp; Cost Dashboard'!$B$31:$B$38,0)),0)</f>
        <v>11.51</v>
      </c>
    </row>
    <row r="465" spans="1:12" ht="18" x14ac:dyDescent="0.2">
      <c r="A465" s="17">
        <v>1055</v>
      </c>
      <c r="B465" s="17" t="s">
        <v>856</v>
      </c>
      <c r="C465" s="17" t="s">
        <v>141</v>
      </c>
      <c r="D465" s="17">
        <v>1</v>
      </c>
      <c r="E465" s="17" t="s">
        <v>182</v>
      </c>
      <c r="F465" s="17" t="s">
        <v>540</v>
      </c>
      <c r="G465" s="17" t="s">
        <v>532</v>
      </c>
      <c r="H465" s="17" t="s">
        <v>828</v>
      </c>
      <c r="I465" s="17">
        <v>5</v>
      </c>
      <c r="J465" s="18">
        <f t="shared" si="14"/>
        <v>0</v>
      </c>
      <c r="K465" s="18">
        <f t="shared" si="15"/>
        <v>10</v>
      </c>
      <c r="L465" s="20">
        <f>IF(H465="Shipped",'Capacity &amp; Cost Dashboard'!D27+'Capacity &amp; Cost Dashboard'!D28*D465*INDEX('Capacity &amp; Cost Dashboard'!$C$31:$C$38,MATCH(INDEX(Products!$C$2:$C$31,MATCH(C465,Products!$A$2:$A$31,0)),'Capacity &amp; Cost Dashboard'!$B$31:$B$38,0)),0)</f>
        <v>8.1349999999999998</v>
      </c>
    </row>
    <row r="466" spans="1:12" ht="18" x14ac:dyDescent="0.2">
      <c r="A466" s="17">
        <v>1056</v>
      </c>
      <c r="B466" s="17" t="s">
        <v>848</v>
      </c>
      <c r="C466" s="17" t="s">
        <v>161</v>
      </c>
      <c r="D466" s="17">
        <v>3</v>
      </c>
      <c r="E466" s="17" t="s">
        <v>553</v>
      </c>
      <c r="F466" s="17" t="s">
        <v>183</v>
      </c>
      <c r="G466" s="17" t="s">
        <v>579</v>
      </c>
      <c r="H466" s="17" t="s">
        <v>828</v>
      </c>
      <c r="I466" s="17">
        <v>4</v>
      </c>
      <c r="J466" s="18">
        <f t="shared" si="14"/>
        <v>0</v>
      </c>
      <c r="K466" s="18">
        <f t="shared" si="15"/>
        <v>10</v>
      </c>
      <c r="L466" s="20">
        <f>IF(H466="Shipped",'Capacity &amp; Cost Dashboard'!D27+'Capacity &amp; Cost Dashboard'!D28*D466*INDEX('Capacity &amp; Cost Dashboard'!$C$31:$C$38,MATCH(INDEX(Products!$C$2:$C$31,MATCH(C466,Products!$A$2:$A$31,0)),'Capacity &amp; Cost Dashboard'!$B$31:$B$38,0)),0)</f>
        <v>12.05</v>
      </c>
    </row>
    <row r="467" spans="1:12" ht="18" x14ac:dyDescent="0.2">
      <c r="A467" s="17">
        <v>1057</v>
      </c>
      <c r="B467" s="17" t="s">
        <v>850</v>
      </c>
      <c r="C467" s="17" t="s">
        <v>102</v>
      </c>
      <c r="D467" s="17">
        <v>13</v>
      </c>
      <c r="E467" s="17" t="s">
        <v>553</v>
      </c>
      <c r="F467" s="17" t="s">
        <v>579</v>
      </c>
      <c r="G467" s="17" t="s">
        <v>183</v>
      </c>
      <c r="H467" s="17" t="s">
        <v>828</v>
      </c>
      <c r="I467" s="17">
        <v>4</v>
      </c>
      <c r="J467" s="18">
        <f t="shared" si="14"/>
        <v>1</v>
      </c>
      <c r="K467" s="18">
        <f t="shared" si="15"/>
        <v>10</v>
      </c>
      <c r="L467" s="20" t="e">
        <f>IF(H467="Shipped",'Capacity &amp; Cost Dashboard'!D27+'Capacity &amp; Cost Dashboard'!D28*D467*INDEX('Capacity &amp; Cost Dashboard'!$C$31:$C$38,MATCH(INDEX(Products!$C$2:$C$31,MATCH(C467,Products!$A$2:$A$31,0)),'Capacity &amp; Cost Dashboard'!$B$31:$B$38,0)),0)</f>
        <v>#N/A</v>
      </c>
    </row>
    <row r="468" spans="1:12" ht="18" x14ac:dyDescent="0.2">
      <c r="A468" s="17">
        <v>1058</v>
      </c>
      <c r="B468" s="17" t="s">
        <v>830</v>
      </c>
      <c r="C468" s="17" t="s">
        <v>95</v>
      </c>
      <c r="D468" s="17">
        <v>26</v>
      </c>
      <c r="E468" s="17" t="s">
        <v>540</v>
      </c>
      <c r="F468" s="17" t="s">
        <v>576</v>
      </c>
      <c r="G468" s="17" t="s">
        <v>564</v>
      </c>
      <c r="H468" s="17" t="s">
        <v>828</v>
      </c>
      <c r="I468" s="17">
        <v>4</v>
      </c>
      <c r="J468" s="18">
        <f t="shared" si="14"/>
        <v>0</v>
      </c>
      <c r="K468" s="18">
        <f t="shared" si="15"/>
        <v>10</v>
      </c>
      <c r="L468" s="20" t="e">
        <f>IF(H468="Shipped",'Capacity &amp; Cost Dashboard'!D27+'Capacity &amp; Cost Dashboard'!D28*D468*INDEX('Capacity &amp; Cost Dashboard'!$C$31:$C$38,MATCH(INDEX(Products!$C$2:$C$31,MATCH(C468,Products!$A$2:$A$31,0)),'Capacity &amp; Cost Dashboard'!$B$31:$B$38,0)),0)</f>
        <v>#N/A</v>
      </c>
    </row>
    <row r="469" spans="1:12" ht="18" x14ac:dyDescent="0.2">
      <c r="A469" s="17">
        <v>1059</v>
      </c>
      <c r="B469" s="17" t="s">
        <v>857</v>
      </c>
      <c r="C469" s="17" t="s">
        <v>104</v>
      </c>
      <c r="D469" s="17">
        <v>3</v>
      </c>
      <c r="E469" s="17" t="s">
        <v>182</v>
      </c>
      <c r="F469" s="17" t="s">
        <v>532</v>
      </c>
      <c r="G469" s="17" t="s">
        <v>183</v>
      </c>
      <c r="H469" s="17" t="s">
        <v>828</v>
      </c>
      <c r="I469" s="17">
        <v>4</v>
      </c>
      <c r="J469" s="18">
        <f t="shared" si="14"/>
        <v>1</v>
      </c>
      <c r="K469" s="18">
        <f t="shared" si="15"/>
        <v>10</v>
      </c>
      <c r="L469" s="20">
        <f>IF(H469="Shipped",'Capacity &amp; Cost Dashboard'!D27+'Capacity &amp; Cost Dashboard'!D28*D469*INDEX('Capacity &amp; Cost Dashboard'!$C$31:$C$38,MATCH(INDEX(Products!$C$2:$C$31,MATCH(C469,Products!$A$2:$A$31,0)),'Capacity &amp; Cost Dashboard'!$B$31:$B$38,0)),0)</f>
        <v>14.75</v>
      </c>
    </row>
    <row r="470" spans="1:12" ht="18" x14ac:dyDescent="0.2">
      <c r="A470" s="17">
        <v>1060</v>
      </c>
      <c r="B470" s="17" t="s">
        <v>853</v>
      </c>
      <c r="C470" s="17" t="s">
        <v>111</v>
      </c>
      <c r="D470" s="17">
        <v>25</v>
      </c>
      <c r="E470" s="17" t="s">
        <v>182</v>
      </c>
      <c r="F470" s="17" t="s">
        <v>540</v>
      </c>
      <c r="G470" s="17" t="s">
        <v>540</v>
      </c>
      <c r="H470" s="17" t="s">
        <v>828</v>
      </c>
      <c r="I470" s="17">
        <v>4</v>
      </c>
      <c r="J470" s="18">
        <f t="shared" si="14"/>
        <v>0</v>
      </c>
      <c r="K470" s="18">
        <f t="shared" si="15"/>
        <v>10</v>
      </c>
      <c r="L470" s="20">
        <f>IF(H470="Shipped",'Capacity &amp; Cost Dashboard'!D27+'Capacity &amp; Cost Dashboard'!D28*D470*INDEX('Capacity &amp; Cost Dashboard'!$C$31:$C$38,MATCH(INDEX(Products!$C$2:$C$31,MATCH(C470,Products!$A$2:$A$31,0)),'Capacity &amp; Cost Dashboard'!$B$31:$B$38,0)),0)</f>
        <v>64.25</v>
      </c>
    </row>
    <row r="471" spans="1:12" ht="18" x14ac:dyDescent="0.2">
      <c r="A471" s="17">
        <v>1061</v>
      </c>
      <c r="B471" s="17" t="s">
        <v>834</v>
      </c>
      <c r="C471" s="17" t="s">
        <v>143</v>
      </c>
      <c r="D471" s="17">
        <v>23</v>
      </c>
      <c r="E471" s="17" t="s">
        <v>502</v>
      </c>
      <c r="F471" s="17" t="s">
        <v>586</v>
      </c>
      <c r="G471" s="17" t="s">
        <v>540</v>
      </c>
      <c r="H471" s="17" t="s">
        <v>828</v>
      </c>
      <c r="I471" s="17">
        <v>4</v>
      </c>
      <c r="J471" s="18">
        <f t="shared" si="14"/>
        <v>0</v>
      </c>
      <c r="K471" s="18">
        <f t="shared" si="15"/>
        <v>10</v>
      </c>
      <c r="L471" s="20">
        <f>IF(H471="Shipped",'Capacity &amp; Cost Dashboard'!D27+'Capacity &amp; Cost Dashboard'!D28*D471*INDEX('Capacity &amp; Cost Dashboard'!$C$31:$C$38,MATCH(INDEX(Products!$C$2:$C$31,MATCH(C471,Products!$A$2:$A$31,0)),'Capacity &amp; Cost Dashboard'!$B$31:$B$38,0)),0)</f>
        <v>11.105</v>
      </c>
    </row>
    <row r="472" spans="1:12" ht="18" x14ac:dyDescent="0.2">
      <c r="A472" s="17">
        <v>1062</v>
      </c>
      <c r="B472" s="17" t="s">
        <v>848</v>
      </c>
      <c r="C472" s="17" t="s">
        <v>132</v>
      </c>
      <c r="D472" s="17">
        <v>8</v>
      </c>
      <c r="E472" s="17" t="s">
        <v>532</v>
      </c>
      <c r="F472" s="17" t="s">
        <v>579</v>
      </c>
      <c r="G472" s="17" t="s">
        <v>586</v>
      </c>
      <c r="H472" s="17" t="s">
        <v>828</v>
      </c>
      <c r="I472" s="17">
        <v>5</v>
      </c>
      <c r="J472" s="18">
        <f t="shared" si="14"/>
        <v>0</v>
      </c>
      <c r="K472" s="18">
        <f t="shared" si="15"/>
        <v>10</v>
      </c>
      <c r="L472" s="20">
        <f>IF(H472="Shipped",'Capacity &amp; Cost Dashboard'!D27+'Capacity &amp; Cost Dashboard'!D28*D472*INDEX('Capacity &amp; Cost Dashboard'!$C$31:$C$38,MATCH(INDEX(Products!$C$2:$C$31,MATCH(C472,Products!$A$2:$A$31,0)),'Capacity &amp; Cost Dashboard'!$B$31:$B$38,0)),0)</f>
        <v>15.2</v>
      </c>
    </row>
    <row r="473" spans="1:12" ht="18" x14ac:dyDescent="0.2">
      <c r="A473" s="17">
        <v>1063</v>
      </c>
      <c r="B473" s="17" t="s">
        <v>836</v>
      </c>
      <c r="C473" s="17" t="s">
        <v>159</v>
      </c>
      <c r="D473" s="17">
        <v>3</v>
      </c>
      <c r="E473" s="17" t="s">
        <v>540</v>
      </c>
      <c r="F473" s="17" t="s">
        <v>564</v>
      </c>
      <c r="G473" s="17" t="s">
        <v>183</v>
      </c>
      <c r="H473" s="17" t="s">
        <v>828</v>
      </c>
      <c r="I473" s="17">
        <v>4</v>
      </c>
      <c r="J473" s="18">
        <f t="shared" si="14"/>
        <v>0</v>
      </c>
      <c r="K473" s="18">
        <f t="shared" si="15"/>
        <v>10</v>
      </c>
      <c r="L473" s="20">
        <f>IF(H473="Shipped",'Capacity &amp; Cost Dashboard'!D27+'Capacity &amp; Cost Dashboard'!D28*D473*INDEX('Capacity &amp; Cost Dashboard'!$C$31:$C$38,MATCH(INDEX(Products!$C$2:$C$31,MATCH(C473,Products!$A$2:$A$31,0)),'Capacity &amp; Cost Dashboard'!$B$31:$B$38,0)),0)</f>
        <v>12.05</v>
      </c>
    </row>
    <row r="474" spans="1:12" ht="18" x14ac:dyDescent="0.2">
      <c r="A474" s="17">
        <v>1064</v>
      </c>
      <c r="B474" s="17" t="s">
        <v>851</v>
      </c>
      <c r="C474" s="17" t="s">
        <v>100</v>
      </c>
      <c r="D474" s="17">
        <v>16</v>
      </c>
      <c r="E474" s="17" t="s">
        <v>540</v>
      </c>
      <c r="F474" s="17" t="s">
        <v>576</v>
      </c>
      <c r="G474" s="17" t="s">
        <v>564</v>
      </c>
      <c r="H474" s="17" t="s">
        <v>828</v>
      </c>
      <c r="I474" s="17">
        <v>5</v>
      </c>
      <c r="J474" s="18">
        <f t="shared" si="14"/>
        <v>0</v>
      </c>
      <c r="K474" s="18">
        <f t="shared" si="15"/>
        <v>10</v>
      </c>
      <c r="L474" s="20" t="e">
        <f>IF(H474="Shipped",'Capacity &amp; Cost Dashboard'!D27+'Capacity &amp; Cost Dashboard'!D28*D474*INDEX('Capacity &amp; Cost Dashboard'!$C$31:$C$38,MATCH(INDEX(Products!$C$2:$C$31,MATCH(C474,Products!$A$2:$A$31,0)),'Capacity &amp; Cost Dashboard'!$B$31:$B$38,0)),0)</f>
        <v>#N/A</v>
      </c>
    </row>
    <row r="475" spans="1:12" ht="18" x14ac:dyDescent="0.2">
      <c r="A475" s="17">
        <v>1065</v>
      </c>
      <c r="B475" s="17" t="s">
        <v>833</v>
      </c>
      <c r="C475" s="17" t="s">
        <v>123</v>
      </c>
      <c r="D475" s="17">
        <v>6</v>
      </c>
      <c r="E475" s="17" t="s">
        <v>532</v>
      </c>
      <c r="F475" s="17" t="s">
        <v>564</v>
      </c>
      <c r="G475" s="17" t="s">
        <v>564</v>
      </c>
      <c r="H475" s="17" t="s">
        <v>828</v>
      </c>
      <c r="I475" s="17">
        <v>5</v>
      </c>
      <c r="J475" s="18">
        <f t="shared" si="14"/>
        <v>0</v>
      </c>
      <c r="K475" s="18">
        <f t="shared" si="15"/>
        <v>10</v>
      </c>
      <c r="L475" s="20">
        <f>IF(H475="Shipped",'Capacity &amp; Cost Dashboard'!D27+'Capacity &amp; Cost Dashboard'!D28*D475*INDEX('Capacity &amp; Cost Dashboard'!$C$31:$C$38,MATCH(INDEX(Products!$C$2:$C$31,MATCH(C475,Products!$A$2:$A$31,0)),'Capacity &amp; Cost Dashboard'!$B$31:$B$38,0)),0)</f>
        <v>10.7</v>
      </c>
    </row>
    <row r="476" spans="1:12" ht="18" x14ac:dyDescent="0.2">
      <c r="A476" s="17">
        <v>1066</v>
      </c>
      <c r="B476" s="17" t="s">
        <v>850</v>
      </c>
      <c r="C476" s="17" t="s">
        <v>145</v>
      </c>
      <c r="D476" s="17">
        <v>8</v>
      </c>
      <c r="E476" s="17" t="s">
        <v>182</v>
      </c>
      <c r="F476" s="17" t="s">
        <v>586</v>
      </c>
      <c r="G476" s="17" t="s">
        <v>586</v>
      </c>
      <c r="H476" s="17" t="s">
        <v>828</v>
      </c>
      <c r="I476" s="17">
        <v>4</v>
      </c>
      <c r="J476" s="18">
        <f t="shared" si="14"/>
        <v>0</v>
      </c>
      <c r="K476" s="18">
        <f t="shared" si="15"/>
        <v>10</v>
      </c>
      <c r="L476" s="20">
        <f>IF(H476="Shipped",'Capacity &amp; Cost Dashboard'!D27+'Capacity &amp; Cost Dashboard'!D28*D476*INDEX('Capacity &amp; Cost Dashboard'!$C$31:$C$38,MATCH(INDEX(Products!$C$2:$C$31,MATCH(C476,Products!$A$2:$A$31,0)),'Capacity &amp; Cost Dashboard'!$B$31:$B$38,0)),0)</f>
        <v>9.08</v>
      </c>
    </row>
    <row r="477" spans="1:12" ht="18" x14ac:dyDescent="0.2">
      <c r="A477" s="17">
        <v>1067</v>
      </c>
      <c r="B477" s="17" t="s">
        <v>833</v>
      </c>
      <c r="C477" s="17" t="s">
        <v>125</v>
      </c>
      <c r="D477" s="17">
        <v>2</v>
      </c>
      <c r="E477" s="17" t="s">
        <v>502</v>
      </c>
      <c r="F477" s="17" t="s">
        <v>540</v>
      </c>
      <c r="G477" s="17" t="s">
        <v>532</v>
      </c>
      <c r="H477" s="17" t="s">
        <v>828</v>
      </c>
      <c r="I477" s="17">
        <v>4</v>
      </c>
      <c r="J477" s="18">
        <f t="shared" si="14"/>
        <v>0</v>
      </c>
      <c r="K477" s="18">
        <f t="shared" si="15"/>
        <v>10</v>
      </c>
      <c r="L477" s="20">
        <f>IF(H477="Shipped",'Capacity &amp; Cost Dashboard'!D27+'Capacity &amp; Cost Dashboard'!D28*D477*INDEX('Capacity &amp; Cost Dashboard'!$C$31:$C$38,MATCH(INDEX(Products!$C$2:$C$31,MATCH(C477,Products!$A$2:$A$31,0)),'Capacity &amp; Cost Dashboard'!$B$31:$B$38,0)),0)</f>
        <v>8.9</v>
      </c>
    </row>
    <row r="478" spans="1:12" ht="18" x14ac:dyDescent="0.2">
      <c r="A478" s="17">
        <v>1068</v>
      </c>
      <c r="B478" s="17" t="s">
        <v>853</v>
      </c>
      <c r="C478" s="17" t="s">
        <v>141</v>
      </c>
      <c r="D478" s="17">
        <v>11</v>
      </c>
      <c r="E478" s="17" t="s">
        <v>540</v>
      </c>
      <c r="F478" s="17" t="s">
        <v>564</v>
      </c>
      <c r="G478" s="17" t="s">
        <v>183</v>
      </c>
      <c r="H478" s="17" t="s">
        <v>828</v>
      </c>
      <c r="I478" s="17">
        <v>5</v>
      </c>
      <c r="J478" s="18">
        <f t="shared" si="14"/>
        <v>0</v>
      </c>
      <c r="K478" s="18">
        <f t="shared" si="15"/>
        <v>10</v>
      </c>
      <c r="L478" s="20">
        <f>IF(H478="Shipped",'Capacity &amp; Cost Dashboard'!D27+'Capacity &amp; Cost Dashboard'!D28*D478*INDEX('Capacity &amp; Cost Dashboard'!$C$31:$C$38,MATCH(INDEX(Products!$C$2:$C$31,MATCH(C478,Products!$A$2:$A$31,0)),'Capacity &amp; Cost Dashboard'!$B$31:$B$38,0)),0)</f>
        <v>9.4849999999999994</v>
      </c>
    </row>
    <row r="479" spans="1:12" ht="18" x14ac:dyDescent="0.2">
      <c r="A479" s="17">
        <v>1069</v>
      </c>
      <c r="B479" s="17" t="s">
        <v>834</v>
      </c>
      <c r="C479" s="17" t="s">
        <v>102</v>
      </c>
      <c r="D479" s="17">
        <v>17</v>
      </c>
      <c r="E479" s="17" t="s">
        <v>502</v>
      </c>
      <c r="F479" s="17" t="s">
        <v>579</v>
      </c>
      <c r="G479" s="17" t="s">
        <v>586</v>
      </c>
      <c r="H479" s="17" t="s">
        <v>828</v>
      </c>
      <c r="I479" s="17">
        <v>4</v>
      </c>
      <c r="J479" s="18">
        <f t="shared" si="14"/>
        <v>0</v>
      </c>
      <c r="K479" s="18">
        <f t="shared" si="15"/>
        <v>10</v>
      </c>
      <c r="L479" s="20" t="e">
        <f>IF(H479="Shipped",'Capacity &amp; Cost Dashboard'!D27+'Capacity &amp; Cost Dashboard'!D28*D479*INDEX('Capacity &amp; Cost Dashboard'!$C$31:$C$38,MATCH(INDEX(Products!$C$2:$C$31,MATCH(C479,Products!$A$2:$A$31,0)),'Capacity &amp; Cost Dashboard'!$B$31:$B$38,0)),0)</f>
        <v>#N/A</v>
      </c>
    </row>
    <row r="480" spans="1:12" ht="18" x14ac:dyDescent="0.2">
      <c r="A480" s="17">
        <v>1070</v>
      </c>
      <c r="B480" s="17" t="s">
        <v>850</v>
      </c>
      <c r="C480" s="17" t="s">
        <v>134</v>
      </c>
      <c r="D480" s="17">
        <v>16</v>
      </c>
      <c r="E480" s="17" t="s">
        <v>540</v>
      </c>
      <c r="F480" s="17" t="s">
        <v>576</v>
      </c>
      <c r="G480" s="17" t="s">
        <v>564</v>
      </c>
      <c r="H480" s="17" t="s">
        <v>828</v>
      </c>
      <c r="I480" s="17">
        <v>4</v>
      </c>
      <c r="J480" s="18">
        <f t="shared" si="14"/>
        <v>0</v>
      </c>
      <c r="K480" s="18">
        <f t="shared" si="15"/>
        <v>10</v>
      </c>
      <c r="L480" s="20">
        <f>IF(H480="Shipped",'Capacity &amp; Cost Dashboard'!D27+'Capacity &amp; Cost Dashboard'!D28*D480*INDEX('Capacity &amp; Cost Dashboard'!$C$31:$C$38,MATCH(INDEX(Products!$C$2:$C$31,MATCH(C480,Products!$A$2:$A$31,0)),'Capacity &amp; Cost Dashboard'!$B$31:$B$38,0)),0)</f>
        <v>22.4</v>
      </c>
    </row>
    <row r="481" spans="1:12" ht="18" x14ac:dyDescent="0.2">
      <c r="A481" s="17">
        <v>1071</v>
      </c>
      <c r="B481" s="17" t="s">
        <v>831</v>
      </c>
      <c r="C481" s="17" t="s">
        <v>139</v>
      </c>
      <c r="D481" s="17">
        <v>5</v>
      </c>
      <c r="E481" s="17" t="s">
        <v>553</v>
      </c>
      <c r="F481" s="17" t="s">
        <v>183</v>
      </c>
      <c r="G481" s="17" t="s">
        <v>183</v>
      </c>
      <c r="H481" s="17" t="s">
        <v>828</v>
      </c>
      <c r="I481" s="17">
        <v>4</v>
      </c>
      <c r="J481" s="18">
        <f t="shared" si="14"/>
        <v>0</v>
      </c>
      <c r="K481" s="18">
        <f t="shared" si="15"/>
        <v>10</v>
      </c>
      <c r="L481" s="20">
        <f>IF(H481="Shipped",'Capacity &amp; Cost Dashboard'!D27+'Capacity &amp; Cost Dashboard'!D28*D481*INDEX('Capacity &amp; Cost Dashboard'!$C$31:$C$38,MATCH(INDEX(Products!$C$2:$C$31,MATCH(C481,Products!$A$2:$A$31,0)),'Capacity &amp; Cost Dashboard'!$B$31:$B$38,0)),0)</f>
        <v>8.6750000000000007</v>
      </c>
    </row>
    <row r="482" spans="1:12" ht="18" x14ac:dyDescent="0.2">
      <c r="A482" s="17">
        <v>1072</v>
      </c>
      <c r="B482" s="17" t="s">
        <v>841</v>
      </c>
      <c r="C482" s="17" t="s">
        <v>161</v>
      </c>
      <c r="D482" s="17">
        <v>1</v>
      </c>
      <c r="E482" s="17" t="s">
        <v>182</v>
      </c>
      <c r="F482" s="17" t="s">
        <v>586</v>
      </c>
      <c r="G482" s="17" t="s">
        <v>540</v>
      </c>
      <c r="H482" s="17" t="s">
        <v>828</v>
      </c>
      <c r="I482" s="17">
        <v>5</v>
      </c>
      <c r="J482" s="18">
        <f t="shared" si="14"/>
        <v>0</v>
      </c>
      <c r="K482" s="18">
        <f t="shared" si="15"/>
        <v>10</v>
      </c>
      <c r="L482" s="20">
        <f>IF(H482="Shipped",'Capacity &amp; Cost Dashboard'!D27+'Capacity &amp; Cost Dashboard'!D28*D482*INDEX('Capacity &amp; Cost Dashboard'!$C$31:$C$38,MATCH(INDEX(Products!$C$2:$C$31,MATCH(C482,Products!$A$2:$A$31,0)),'Capacity &amp; Cost Dashboard'!$B$31:$B$38,0)),0)</f>
        <v>9.35</v>
      </c>
    </row>
    <row r="483" spans="1:12" ht="18" x14ac:dyDescent="0.2">
      <c r="A483" s="17">
        <v>1073</v>
      </c>
      <c r="B483" s="17" t="s">
        <v>832</v>
      </c>
      <c r="C483" s="17" t="s">
        <v>125</v>
      </c>
      <c r="D483" s="17">
        <v>7</v>
      </c>
      <c r="E483" s="17" t="s">
        <v>182</v>
      </c>
      <c r="F483" s="17" t="s">
        <v>540</v>
      </c>
      <c r="G483" s="17" t="s">
        <v>540</v>
      </c>
      <c r="H483" s="17" t="s">
        <v>828</v>
      </c>
      <c r="I483" s="17">
        <v>4</v>
      </c>
      <c r="J483" s="18">
        <f t="shared" si="14"/>
        <v>0</v>
      </c>
      <c r="K483" s="18">
        <f t="shared" si="15"/>
        <v>10</v>
      </c>
      <c r="L483" s="20">
        <f>IF(H483="Shipped",'Capacity &amp; Cost Dashboard'!D27+'Capacity &amp; Cost Dashboard'!D28*D483*INDEX('Capacity &amp; Cost Dashboard'!$C$31:$C$38,MATCH(INDEX(Products!$C$2:$C$31,MATCH(C483,Products!$A$2:$A$31,0)),'Capacity &amp; Cost Dashboard'!$B$31:$B$38,0)),0)</f>
        <v>11.15</v>
      </c>
    </row>
    <row r="484" spans="1:12" ht="18" x14ac:dyDescent="0.2">
      <c r="A484" s="17">
        <v>1074</v>
      </c>
      <c r="B484" s="17" t="s">
        <v>841</v>
      </c>
      <c r="C484" s="17" t="s">
        <v>139</v>
      </c>
      <c r="D484" s="17">
        <v>12</v>
      </c>
      <c r="E484" s="17" t="s">
        <v>532</v>
      </c>
      <c r="F484" s="17" t="s">
        <v>183</v>
      </c>
      <c r="G484" s="17" t="s">
        <v>183</v>
      </c>
      <c r="H484" s="17" t="s">
        <v>828</v>
      </c>
      <c r="I484" s="17">
        <v>5</v>
      </c>
      <c r="J484" s="18">
        <f t="shared" si="14"/>
        <v>0</v>
      </c>
      <c r="K484" s="18">
        <f t="shared" si="15"/>
        <v>10</v>
      </c>
      <c r="L484" s="20">
        <f>IF(H484="Shipped",'Capacity &amp; Cost Dashboard'!D27+'Capacity &amp; Cost Dashboard'!D28*D484*INDEX('Capacity &amp; Cost Dashboard'!$C$31:$C$38,MATCH(INDEX(Products!$C$2:$C$31,MATCH(C484,Products!$A$2:$A$31,0)),'Capacity &amp; Cost Dashboard'!$B$31:$B$38,0)),0)</f>
        <v>9.620000000000001</v>
      </c>
    </row>
    <row r="485" spans="1:12" ht="18" x14ac:dyDescent="0.2">
      <c r="A485" s="17">
        <v>1075</v>
      </c>
      <c r="B485" s="17" t="s">
        <v>851</v>
      </c>
      <c r="C485" s="17" t="s">
        <v>120</v>
      </c>
      <c r="D485" s="17">
        <v>1</v>
      </c>
      <c r="E485" s="17" t="s">
        <v>502</v>
      </c>
      <c r="F485" s="17" t="s">
        <v>579</v>
      </c>
      <c r="G485" s="17" t="s">
        <v>579</v>
      </c>
      <c r="H485" s="17" t="s">
        <v>828</v>
      </c>
      <c r="I485" s="17">
        <v>5</v>
      </c>
      <c r="J485" s="18">
        <f t="shared" si="14"/>
        <v>0</v>
      </c>
      <c r="K485" s="18">
        <f t="shared" si="15"/>
        <v>10</v>
      </c>
      <c r="L485" s="20">
        <f>IF(H485="Shipped",'Capacity &amp; Cost Dashboard'!D27+'Capacity &amp; Cost Dashboard'!D28*D485*INDEX('Capacity &amp; Cost Dashboard'!$C$31:$C$38,MATCH(INDEX(Products!$C$2:$C$31,MATCH(C485,Products!$A$2:$A$31,0)),'Capacity &amp; Cost Dashboard'!$B$31:$B$38,0)),0)</f>
        <v>8.4499999999999993</v>
      </c>
    </row>
    <row r="486" spans="1:12" ht="18" x14ac:dyDescent="0.2">
      <c r="A486" s="17">
        <v>1076</v>
      </c>
      <c r="B486" s="17" t="s">
        <v>832</v>
      </c>
      <c r="C486" s="17" t="s">
        <v>149</v>
      </c>
      <c r="D486" s="17">
        <v>3</v>
      </c>
      <c r="E486" s="17" t="s">
        <v>553</v>
      </c>
      <c r="F486" s="17" t="s">
        <v>183</v>
      </c>
      <c r="G486" s="17" t="s">
        <v>579</v>
      </c>
      <c r="H486" s="17" t="s">
        <v>828</v>
      </c>
      <c r="I486" s="17">
        <v>5</v>
      </c>
      <c r="J486" s="18">
        <f t="shared" si="14"/>
        <v>0</v>
      </c>
      <c r="K486" s="18">
        <f t="shared" si="15"/>
        <v>10</v>
      </c>
      <c r="L486" s="20">
        <f>IF(H486="Shipped",'Capacity &amp; Cost Dashboard'!D27+'Capacity &amp; Cost Dashboard'!D28*D486*INDEX('Capacity &amp; Cost Dashboard'!$C$31:$C$38,MATCH(INDEX(Products!$C$2:$C$31,MATCH(C486,Products!$A$2:$A$31,0)),'Capacity &amp; Cost Dashboard'!$B$31:$B$38,0)),0)</f>
        <v>10.025</v>
      </c>
    </row>
    <row r="487" spans="1:12" ht="18" x14ac:dyDescent="0.2">
      <c r="A487" s="17">
        <v>1077</v>
      </c>
      <c r="B487" s="17" t="s">
        <v>841</v>
      </c>
      <c r="C487" s="17" t="s">
        <v>116</v>
      </c>
      <c r="D487" s="17">
        <v>2</v>
      </c>
      <c r="E487" s="17" t="s">
        <v>532</v>
      </c>
      <c r="F487" s="17" t="s">
        <v>579</v>
      </c>
      <c r="G487" s="17" t="s">
        <v>586</v>
      </c>
      <c r="H487" s="17" t="s">
        <v>828</v>
      </c>
      <c r="I487" s="17">
        <v>5</v>
      </c>
      <c r="J487" s="18">
        <f t="shared" si="14"/>
        <v>0</v>
      </c>
      <c r="K487" s="18">
        <f t="shared" si="15"/>
        <v>10</v>
      </c>
      <c r="L487" s="20">
        <f>IF(H487="Shipped",'Capacity &amp; Cost Dashboard'!D27+'Capacity &amp; Cost Dashboard'!D28*D487*INDEX('Capacity &amp; Cost Dashboard'!$C$31:$C$38,MATCH(INDEX(Products!$C$2:$C$31,MATCH(C487,Products!$A$2:$A$31,0)),'Capacity &amp; Cost Dashboard'!$B$31:$B$38,0)),0)</f>
        <v>9.8000000000000007</v>
      </c>
    </row>
    <row r="488" spans="1:12" ht="18" x14ac:dyDescent="0.2">
      <c r="A488" s="17">
        <v>1078</v>
      </c>
      <c r="B488" s="17" t="s">
        <v>830</v>
      </c>
      <c r="C488" s="17" t="s">
        <v>123</v>
      </c>
      <c r="D488" s="17">
        <v>8</v>
      </c>
      <c r="E488" s="17" t="s">
        <v>502</v>
      </c>
      <c r="F488" s="17" t="s">
        <v>579</v>
      </c>
      <c r="G488" s="17" t="s">
        <v>586</v>
      </c>
      <c r="H488" s="17" t="s">
        <v>828</v>
      </c>
      <c r="I488" s="17">
        <v>5</v>
      </c>
      <c r="J488" s="18">
        <f t="shared" si="14"/>
        <v>0</v>
      </c>
      <c r="K488" s="18">
        <f t="shared" si="15"/>
        <v>10</v>
      </c>
      <c r="L488" s="20">
        <f>IF(H488="Shipped",'Capacity &amp; Cost Dashboard'!D27+'Capacity &amp; Cost Dashboard'!D28*D488*INDEX('Capacity &amp; Cost Dashboard'!$C$31:$C$38,MATCH(INDEX(Products!$C$2:$C$31,MATCH(C488,Products!$A$2:$A$31,0)),'Capacity &amp; Cost Dashboard'!$B$31:$B$38,0)),0)</f>
        <v>11.6</v>
      </c>
    </row>
    <row r="489" spans="1:12" ht="18" x14ac:dyDescent="0.2">
      <c r="A489" s="17">
        <v>1079</v>
      </c>
      <c r="B489" s="17" t="s">
        <v>852</v>
      </c>
      <c r="C489" s="17" t="s">
        <v>113</v>
      </c>
      <c r="D489" s="17">
        <v>5</v>
      </c>
      <c r="E489" s="17" t="s">
        <v>540</v>
      </c>
      <c r="F489" s="17" t="s">
        <v>576</v>
      </c>
      <c r="G489" s="17" t="s">
        <v>564</v>
      </c>
      <c r="H489" s="17" t="s">
        <v>828</v>
      </c>
      <c r="I489" s="17">
        <v>5</v>
      </c>
      <c r="J489" s="18">
        <f t="shared" si="14"/>
        <v>0</v>
      </c>
      <c r="K489" s="18">
        <f t="shared" si="15"/>
        <v>10</v>
      </c>
      <c r="L489" s="20">
        <f>IF(H489="Shipped",'Capacity &amp; Cost Dashboard'!D27+'Capacity &amp; Cost Dashboard'!D28*D489*INDEX('Capacity &amp; Cost Dashboard'!$C$31:$C$38,MATCH(INDEX(Products!$C$2:$C$31,MATCH(C489,Products!$A$2:$A$31,0)),'Capacity &amp; Cost Dashboard'!$B$31:$B$38,0)),0)</f>
        <v>12.5</v>
      </c>
    </row>
    <row r="490" spans="1:12" ht="18" x14ac:dyDescent="0.2">
      <c r="A490" s="17">
        <v>1080</v>
      </c>
      <c r="B490" s="17" t="s">
        <v>851</v>
      </c>
      <c r="C490" s="17" t="s">
        <v>118</v>
      </c>
      <c r="D490" s="17">
        <v>11</v>
      </c>
      <c r="E490" s="17" t="s">
        <v>502</v>
      </c>
      <c r="F490" s="17" t="s">
        <v>586</v>
      </c>
      <c r="G490" s="17" t="s">
        <v>586</v>
      </c>
      <c r="H490" s="17" t="s">
        <v>828</v>
      </c>
      <c r="I490" s="17">
        <v>4</v>
      </c>
      <c r="J490" s="18">
        <f t="shared" si="14"/>
        <v>0</v>
      </c>
      <c r="K490" s="18">
        <f t="shared" si="15"/>
        <v>10</v>
      </c>
      <c r="L490" s="20">
        <f>IF(H490="Shipped",'Capacity &amp; Cost Dashboard'!D27+'Capacity &amp; Cost Dashboard'!D28*D490*INDEX('Capacity &amp; Cost Dashboard'!$C$31:$C$38,MATCH(INDEX(Products!$C$2:$C$31,MATCH(C490,Products!$A$2:$A$31,0)),'Capacity &amp; Cost Dashboard'!$B$31:$B$38,0)),0)</f>
        <v>17.899999999999999</v>
      </c>
    </row>
    <row r="491" spans="1:12" ht="18" x14ac:dyDescent="0.2">
      <c r="A491" s="17">
        <v>1081</v>
      </c>
      <c r="B491" s="17" t="s">
        <v>848</v>
      </c>
      <c r="C491" s="17" t="s">
        <v>127</v>
      </c>
      <c r="D491" s="17">
        <v>7</v>
      </c>
      <c r="E491" s="17" t="s">
        <v>553</v>
      </c>
      <c r="F491" s="17" t="s">
        <v>579</v>
      </c>
      <c r="G491" s="17" t="s">
        <v>586</v>
      </c>
      <c r="H491" s="17" t="s">
        <v>828</v>
      </c>
      <c r="I491" s="17">
        <v>5</v>
      </c>
      <c r="J491" s="18">
        <f t="shared" si="14"/>
        <v>0</v>
      </c>
      <c r="K491" s="18">
        <f t="shared" si="15"/>
        <v>10</v>
      </c>
      <c r="L491" s="20">
        <f>IF(H491="Shipped",'Capacity &amp; Cost Dashboard'!D27+'Capacity &amp; Cost Dashboard'!D28*D491*INDEX('Capacity &amp; Cost Dashboard'!$C$31:$C$38,MATCH(INDEX(Products!$C$2:$C$31,MATCH(C491,Products!$A$2:$A$31,0)),'Capacity &amp; Cost Dashboard'!$B$31:$B$38,0)),0)</f>
        <v>14.3</v>
      </c>
    </row>
    <row r="492" spans="1:12" ht="18" x14ac:dyDescent="0.2">
      <c r="A492" s="17">
        <v>1082</v>
      </c>
      <c r="B492" s="17" t="s">
        <v>833</v>
      </c>
      <c r="C492" s="17" t="s">
        <v>95</v>
      </c>
      <c r="D492" s="17">
        <v>7</v>
      </c>
      <c r="E492" s="17" t="s">
        <v>553</v>
      </c>
      <c r="F492" s="17" t="s">
        <v>586</v>
      </c>
      <c r="G492" s="17" t="s">
        <v>586</v>
      </c>
      <c r="H492" s="17" t="s">
        <v>828</v>
      </c>
      <c r="I492" s="17">
        <v>4</v>
      </c>
      <c r="J492" s="18">
        <f t="shared" si="14"/>
        <v>0</v>
      </c>
      <c r="K492" s="18">
        <f t="shared" si="15"/>
        <v>10</v>
      </c>
      <c r="L492" s="20" t="e">
        <f>IF(H492="Shipped",'Capacity &amp; Cost Dashboard'!D27+'Capacity &amp; Cost Dashboard'!D28*D492*INDEX('Capacity &amp; Cost Dashboard'!$C$31:$C$38,MATCH(INDEX(Products!$C$2:$C$31,MATCH(C492,Products!$A$2:$A$31,0)),'Capacity &amp; Cost Dashboard'!$B$31:$B$38,0)),0)</f>
        <v>#N/A</v>
      </c>
    </row>
    <row r="493" spans="1:12" ht="18" x14ac:dyDescent="0.2">
      <c r="A493" s="17">
        <v>1083</v>
      </c>
      <c r="B493" s="17" t="s">
        <v>829</v>
      </c>
      <c r="C493" s="17" t="s">
        <v>152</v>
      </c>
      <c r="D493" s="17">
        <v>8</v>
      </c>
      <c r="E493" s="17" t="s">
        <v>182</v>
      </c>
      <c r="F493" s="17" t="s">
        <v>586</v>
      </c>
      <c r="G493" s="17" t="s">
        <v>579</v>
      </c>
      <c r="H493" s="17" t="s">
        <v>828</v>
      </c>
      <c r="I493" s="17">
        <v>3</v>
      </c>
      <c r="J493" s="18">
        <f t="shared" si="14"/>
        <v>1</v>
      </c>
      <c r="K493" s="18">
        <f t="shared" si="15"/>
        <v>10</v>
      </c>
      <c r="L493" s="20">
        <f>IF(H493="Shipped",'Capacity &amp; Cost Dashboard'!D27+'Capacity &amp; Cost Dashboard'!D28*D493*INDEX('Capacity &amp; Cost Dashboard'!$C$31:$C$38,MATCH(INDEX(Products!$C$2:$C$31,MATCH(C493,Products!$A$2:$A$31,0)),'Capacity &amp; Cost Dashboard'!$B$31:$B$38,0)),0)</f>
        <v>13.4</v>
      </c>
    </row>
    <row r="494" spans="1:12" ht="18" x14ac:dyDescent="0.2">
      <c r="A494" s="17">
        <v>1084</v>
      </c>
      <c r="B494" s="17" t="s">
        <v>834</v>
      </c>
      <c r="C494" s="17" t="s">
        <v>111</v>
      </c>
      <c r="D494" s="17">
        <v>26</v>
      </c>
      <c r="E494" s="17" t="s">
        <v>182</v>
      </c>
      <c r="F494" s="17" t="s">
        <v>532</v>
      </c>
      <c r="G494" s="17" t="s">
        <v>532</v>
      </c>
      <c r="H494" s="17" t="s">
        <v>828</v>
      </c>
      <c r="I494" s="17">
        <v>5</v>
      </c>
      <c r="J494" s="18">
        <f t="shared" si="14"/>
        <v>0</v>
      </c>
      <c r="K494" s="18">
        <f t="shared" si="15"/>
        <v>10</v>
      </c>
      <c r="L494" s="20">
        <f>IF(H494="Shipped",'Capacity &amp; Cost Dashboard'!D27+'Capacity &amp; Cost Dashboard'!D28*D494*INDEX('Capacity &amp; Cost Dashboard'!$C$31:$C$38,MATCH(INDEX(Products!$C$2:$C$31,MATCH(C494,Products!$A$2:$A$31,0)),'Capacity &amp; Cost Dashboard'!$B$31:$B$38,0)),0)</f>
        <v>66.5</v>
      </c>
    </row>
    <row r="495" spans="1:12" ht="18" x14ac:dyDescent="0.2">
      <c r="A495" s="17">
        <v>1085</v>
      </c>
      <c r="B495" s="17" t="s">
        <v>853</v>
      </c>
      <c r="C495" s="17" t="s">
        <v>130</v>
      </c>
      <c r="D495" s="17">
        <v>9</v>
      </c>
      <c r="E495" s="17" t="s">
        <v>553</v>
      </c>
      <c r="F495" s="17" t="s">
        <v>586</v>
      </c>
      <c r="G495" s="17" t="s">
        <v>540</v>
      </c>
      <c r="H495" s="17" t="s">
        <v>828</v>
      </c>
      <c r="I495" s="17">
        <v>5</v>
      </c>
      <c r="J495" s="18">
        <f t="shared" si="14"/>
        <v>0</v>
      </c>
      <c r="K495" s="18">
        <f t="shared" si="15"/>
        <v>10</v>
      </c>
      <c r="L495" s="20">
        <f>IF(H495="Shipped",'Capacity &amp; Cost Dashboard'!D27+'Capacity &amp; Cost Dashboard'!D28*D495*INDEX('Capacity &amp; Cost Dashboard'!$C$31:$C$38,MATCH(INDEX(Products!$C$2:$C$31,MATCH(C495,Products!$A$2:$A$31,0)),'Capacity &amp; Cost Dashboard'!$B$31:$B$38,0)),0)</f>
        <v>16.100000000000001</v>
      </c>
    </row>
    <row r="496" spans="1:12" ht="18" x14ac:dyDescent="0.2">
      <c r="A496" s="17">
        <v>1086</v>
      </c>
      <c r="B496" s="17" t="s">
        <v>837</v>
      </c>
      <c r="C496" s="17" t="s">
        <v>107</v>
      </c>
      <c r="D496" s="17">
        <v>1</v>
      </c>
      <c r="E496" s="17" t="s">
        <v>553</v>
      </c>
      <c r="F496" s="17" t="s">
        <v>579</v>
      </c>
      <c r="G496" s="17" t="s">
        <v>586</v>
      </c>
      <c r="H496" s="17" t="s">
        <v>828</v>
      </c>
      <c r="I496" s="17">
        <v>5</v>
      </c>
      <c r="J496" s="18">
        <f t="shared" si="14"/>
        <v>0</v>
      </c>
      <c r="K496" s="18">
        <f t="shared" si="15"/>
        <v>10</v>
      </c>
      <c r="L496" s="20">
        <f>IF(H496="Shipped",'Capacity &amp; Cost Dashboard'!D27+'Capacity &amp; Cost Dashboard'!D28*D496*INDEX('Capacity &amp; Cost Dashboard'!$C$31:$C$38,MATCH(INDEX(Products!$C$2:$C$31,MATCH(C496,Products!$A$2:$A$31,0)),'Capacity &amp; Cost Dashboard'!$B$31:$B$38,0)),0)</f>
        <v>10.25</v>
      </c>
    </row>
    <row r="497" spans="1:12" ht="18" x14ac:dyDescent="0.2">
      <c r="A497" s="17">
        <v>1087</v>
      </c>
      <c r="B497" s="17" t="s">
        <v>846</v>
      </c>
      <c r="C497" s="17" t="s">
        <v>136</v>
      </c>
      <c r="D497" s="17">
        <v>5</v>
      </c>
      <c r="E497" s="17" t="s">
        <v>532</v>
      </c>
      <c r="F497" s="17" t="s">
        <v>564</v>
      </c>
      <c r="G497" s="17" t="s">
        <v>183</v>
      </c>
      <c r="H497" s="17" t="s">
        <v>828</v>
      </c>
      <c r="I497" s="17">
        <v>5</v>
      </c>
      <c r="J497" s="18">
        <f t="shared" si="14"/>
        <v>0</v>
      </c>
      <c r="K497" s="18">
        <f t="shared" si="15"/>
        <v>10</v>
      </c>
      <c r="L497" s="20">
        <f>IF(H497="Shipped",'Capacity &amp; Cost Dashboard'!D27+'Capacity &amp; Cost Dashboard'!D28*D497*INDEX('Capacity &amp; Cost Dashboard'!$C$31:$C$38,MATCH(INDEX(Products!$C$2:$C$31,MATCH(C497,Products!$A$2:$A$31,0)),'Capacity &amp; Cost Dashboard'!$B$31:$B$38,0)),0)</f>
        <v>8.6750000000000007</v>
      </c>
    </row>
    <row r="498" spans="1:12" ht="18" x14ac:dyDescent="0.2">
      <c r="A498" s="17">
        <v>1088</v>
      </c>
      <c r="B498" s="17" t="s">
        <v>838</v>
      </c>
      <c r="C498" s="17" t="s">
        <v>143</v>
      </c>
      <c r="D498" s="17">
        <v>29</v>
      </c>
      <c r="E498" s="17" t="s">
        <v>502</v>
      </c>
      <c r="F498" s="17" t="s">
        <v>579</v>
      </c>
      <c r="G498" s="17" t="s">
        <v>586</v>
      </c>
      <c r="H498" s="17" t="s">
        <v>828</v>
      </c>
      <c r="I498" s="17">
        <v>4</v>
      </c>
      <c r="J498" s="18">
        <f t="shared" si="14"/>
        <v>0</v>
      </c>
      <c r="K498" s="18">
        <f t="shared" si="15"/>
        <v>10</v>
      </c>
      <c r="L498" s="20">
        <f>IF(H498="Shipped",'Capacity &amp; Cost Dashboard'!D27+'Capacity &amp; Cost Dashboard'!D28*D498*INDEX('Capacity &amp; Cost Dashboard'!$C$31:$C$38,MATCH(INDEX(Products!$C$2:$C$31,MATCH(C498,Products!$A$2:$A$31,0)),'Capacity &amp; Cost Dashboard'!$B$31:$B$38,0)),0)</f>
        <v>11.914999999999999</v>
      </c>
    </row>
    <row r="499" spans="1:12" ht="18" x14ac:dyDescent="0.2">
      <c r="A499" s="17">
        <v>1089</v>
      </c>
      <c r="B499" s="17" t="s">
        <v>849</v>
      </c>
      <c r="C499" s="17" t="s">
        <v>132</v>
      </c>
      <c r="D499" s="17">
        <v>19</v>
      </c>
      <c r="E499" s="17" t="s">
        <v>532</v>
      </c>
      <c r="F499" s="17" t="s">
        <v>564</v>
      </c>
      <c r="G499" s="17" t="s">
        <v>564</v>
      </c>
      <c r="H499" s="17" t="s">
        <v>828</v>
      </c>
      <c r="I499" s="17">
        <v>5</v>
      </c>
      <c r="J499" s="18">
        <f t="shared" si="14"/>
        <v>0</v>
      </c>
      <c r="K499" s="18">
        <f t="shared" si="15"/>
        <v>10</v>
      </c>
      <c r="L499" s="20">
        <f>IF(H499="Shipped",'Capacity &amp; Cost Dashboard'!D27+'Capacity &amp; Cost Dashboard'!D28*D499*INDEX('Capacity &amp; Cost Dashboard'!$C$31:$C$38,MATCH(INDEX(Products!$C$2:$C$31,MATCH(C499,Products!$A$2:$A$31,0)),'Capacity &amp; Cost Dashboard'!$B$31:$B$38,0)),0)</f>
        <v>25.1</v>
      </c>
    </row>
    <row r="500" spans="1:12" ht="18" x14ac:dyDescent="0.2">
      <c r="A500" s="17">
        <v>1090</v>
      </c>
      <c r="B500" s="17" t="s">
        <v>829</v>
      </c>
      <c r="C500" s="17" t="s">
        <v>95</v>
      </c>
      <c r="D500" s="17">
        <v>19</v>
      </c>
      <c r="E500" s="17" t="s">
        <v>553</v>
      </c>
      <c r="F500" s="17" t="s">
        <v>579</v>
      </c>
      <c r="G500" s="17" t="s">
        <v>579</v>
      </c>
      <c r="H500" s="17" t="s">
        <v>828</v>
      </c>
      <c r="I500" s="17">
        <v>5</v>
      </c>
      <c r="J500" s="18">
        <f t="shared" si="14"/>
        <v>0</v>
      </c>
      <c r="K500" s="18">
        <f t="shared" si="15"/>
        <v>10</v>
      </c>
      <c r="L500" s="20" t="e">
        <f>IF(H500="Shipped",'Capacity &amp; Cost Dashboard'!D27+'Capacity &amp; Cost Dashboard'!D28*D500*INDEX('Capacity &amp; Cost Dashboard'!$C$31:$C$38,MATCH(INDEX(Products!$C$2:$C$31,MATCH(C500,Products!$A$2:$A$31,0)),'Capacity &amp; Cost Dashboard'!$B$31:$B$38,0)),0)</f>
        <v>#N/A</v>
      </c>
    </row>
    <row r="501" spans="1:12" ht="18" x14ac:dyDescent="0.2">
      <c r="A501" s="17">
        <v>1091</v>
      </c>
      <c r="B501" s="17" t="s">
        <v>852</v>
      </c>
      <c r="C501" s="17" t="s">
        <v>141</v>
      </c>
      <c r="D501" s="17">
        <v>12</v>
      </c>
      <c r="E501" s="17" t="s">
        <v>502</v>
      </c>
      <c r="F501" s="17" t="s">
        <v>586</v>
      </c>
      <c r="G501" s="17" t="s">
        <v>586</v>
      </c>
      <c r="H501" s="17" t="s">
        <v>828</v>
      </c>
      <c r="I501" s="17">
        <v>5</v>
      </c>
      <c r="J501" s="18">
        <f t="shared" si="14"/>
        <v>0</v>
      </c>
      <c r="K501" s="18">
        <f t="shared" si="15"/>
        <v>10</v>
      </c>
      <c r="L501" s="20">
        <f>IF(H501="Shipped",'Capacity &amp; Cost Dashboard'!D27+'Capacity &amp; Cost Dashboard'!D28*D501*INDEX('Capacity &amp; Cost Dashboard'!$C$31:$C$38,MATCH(INDEX(Products!$C$2:$C$31,MATCH(C501,Products!$A$2:$A$31,0)),'Capacity &amp; Cost Dashboard'!$B$31:$B$38,0)),0)</f>
        <v>9.620000000000001</v>
      </c>
    </row>
    <row r="502" spans="1:12" ht="18" x14ac:dyDescent="0.2">
      <c r="A502" s="17">
        <v>1092</v>
      </c>
      <c r="B502" s="17" t="s">
        <v>855</v>
      </c>
      <c r="C502" s="17" t="s">
        <v>100</v>
      </c>
      <c r="D502" s="17">
        <v>28</v>
      </c>
      <c r="E502" s="17" t="s">
        <v>553</v>
      </c>
      <c r="F502" s="17" t="s">
        <v>183</v>
      </c>
      <c r="G502" s="17" t="s">
        <v>183</v>
      </c>
      <c r="H502" s="17" t="s">
        <v>828</v>
      </c>
      <c r="I502" s="17">
        <v>4</v>
      </c>
      <c r="J502" s="18">
        <f t="shared" si="14"/>
        <v>0</v>
      </c>
      <c r="K502" s="18">
        <f t="shared" si="15"/>
        <v>10</v>
      </c>
      <c r="L502" s="20" t="e">
        <f>IF(H502="Shipped",'Capacity &amp; Cost Dashboard'!D27+'Capacity &amp; Cost Dashboard'!D28*D502*INDEX('Capacity &amp; Cost Dashboard'!$C$31:$C$38,MATCH(INDEX(Products!$C$2:$C$31,MATCH(C502,Products!$A$2:$A$31,0)),'Capacity &amp; Cost Dashboard'!$B$31:$B$38,0)),0)</f>
        <v>#N/A</v>
      </c>
    </row>
    <row r="503" spans="1:12" ht="18" x14ac:dyDescent="0.2">
      <c r="A503" s="17">
        <v>1093</v>
      </c>
      <c r="B503" s="17" t="s">
        <v>849</v>
      </c>
      <c r="C503" s="17" t="s">
        <v>125</v>
      </c>
      <c r="D503" s="17">
        <v>6</v>
      </c>
      <c r="E503" s="17" t="s">
        <v>540</v>
      </c>
      <c r="F503" s="17" t="s">
        <v>576</v>
      </c>
      <c r="G503" s="17" t="s">
        <v>564</v>
      </c>
      <c r="H503" s="17" t="s">
        <v>828</v>
      </c>
      <c r="I503" s="17">
        <v>4</v>
      </c>
      <c r="J503" s="18">
        <f t="shared" si="14"/>
        <v>0</v>
      </c>
      <c r="K503" s="18">
        <f t="shared" si="15"/>
        <v>10</v>
      </c>
      <c r="L503" s="20">
        <f>IF(H503="Shipped",'Capacity &amp; Cost Dashboard'!D27+'Capacity &amp; Cost Dashboard'!D28*D503*INDEX('Capacity &amp; Cost Dashboard'!$C$31:$C$38,MATCH(INDEX(Products!$C$2:$C$31,MATCH(C503,Products!$A$2:$A$31,0)),'Capacity &amp; Cost Dashboard'!$B$31:$B$38,0)),0)</f>
        <v>10.7</v>
      </c>
    </row>
    <row r="504" spans="1:12" ht="18" x14ac:dyDescent="0.2">
      <c r="A504" s="17">
        <v>1094</v>
      </c>
      <c r="B504" s="17" t="s">
        <v>846</v>
      </c>
      <c r="C504" s="17" t="s">
        <v>156</v>
      </c>
      <c r="D504" s="17">
        <v>4</v>
      </c>
      <c r="E504" s="17" t="s">
        <v>553</v>
      </c>
      <c r="F504" s="17" t="s">
        <v>183</v>
      </c>
      <c r="G504" s="17" t="s">
        <v>183</v>
      </c>
      <c r="H504" s="17" t="s">
        <v>828</v>
      </c>
      <c r="I504" s="17">
        <v>4</v>
      </c>
      <c r="J504" s="18">
        <f t="shared" si="14"/>
        <v>0</v>
      </c>
      <c r="K504" s="18">
        <f t="shared" si="15"/>
        <v>10</v>
      </c>
      <c r="L504" s="20">
        <f>IF(H504="Shipped",'Capacity &amp; Cost Dashboard'!D27+'Capacity &amp; Cost Dashboard'!D28*D504*INDEX('Capacity &amp; Cost Dashboard'!$C$31:$C$38,MATCH(INDEX(Products!$C$2:$C$31,MATCH(C504,Products!$A$2:$A$31,0)),'Capacity &amp; Cost Dashboard'!$B$31:$B$38,0)),0)</f>
        <v>13.4</v>
      </c>
    </row>
    <row r="505" spans="1:12" ht="18" x14ac:dyDescent="0.2">
      <c r="A505" s="17">
        <v>1095</v>
      </c>
      <c r="B505" s="17" t="s">
        <v>857</v>
      </c>
      <c r="C505" s="17" t="s">
        <v>125</v>
      </c>
      <c r="D505" s="17">
        <v>14</v>
      </c>
      <c r="E505" s="17" t="s">
        <v>182</v>
      </c>
      <c r="F505" s="17" t="s">
        <v>586</v>
      </c>
      <c r="G505" s="17" t="s">
        <v>576</v>
      </c>
      <c r="H505" s="17" t="s">
        <v>828</v>
      </c>
      <c r="I505" s="17">
        <v>4</v>
      </c>
      <c r="J505" s="18">
        <f t="shared" si="14"/>
        <v>1</v>
      </c>
      <c r="K505" s="18">
        <f t="shared" si="15"/>
        <v>10</v>
      </c>
      <c r="L505" s="20">
        <f>IF(H505="Shipped",'Capacity &amp; Cost Dashboard'!D27+'Capacity &amp; Cost Dashboard'!D28*D505*INDEX('Capacity &amp; Cost Dashboard'!$C$31:$C$38,MATCH(INDEX(Products!$C$2:$C$31,MATCH(C505,Products!$A$2:$A$31,0)),'Capacity &amp; Cost Dashboard'!$B$31:$B$38,0)),0)</f>
        <v>14.3</v>
      </c>
    </row>
    <row r="506" spans="1:12" ht="18" x14ac:dyDescent="0.2">
      <c r="A506" s="17">
        <v>1096</v>
      </c>
      <c r="B506" s="17" t="s">
        <v>842</v>
      </c>
      <c r="C506" s="17" t="s">
        <v>141</v>
      </c>
      <c r="D506" s="17">
        <v>12</v>
      </c>
      <c r="E506" s="17" t="s">
        <v>553</v>
      </c>
      <c r="F506" s="17" t="s">
        <v>579</v>
      </c>
      <c r="G506" s="17" t="s">
        <v>596</v>
      </c>
      <c r="H506" s="17" t="s">
        <v>828</v>
      </c>
      <c r="I506" s="17">
        <v>3</v>
      </c>
      <c r="J506" s="18">
        <f t="shared" si="14"/>
        <v>1</v>
      </c>
      <c r="K506" s="18">
        <f t="shared" si="15"/>
        <v>10</v>
      </c>
      <c r="L506" s="20">
        <f>IF(H506="Shipped",'Capacity &amp; Cost Dashboard'!D27+'Capacity &amp; Cost Dashboard'!D28*D506*INDEX('Capacity &amp; Cost Dashboard'!$C$31:$C$38,MATCH(INDEX(Products!$C$2:$C$31,MATCH(C506,Products!$A$2:$A$31,0)),'Capacity &amp; Cost Dashboard'!$B$31:$B$38,0)),0)</f>
        <v>9.620000000000001</v>
      </c>
    </row>
    <row r="507" spans="1:12" ht="18" x14ac:dyDescent="0.2">
      <c r="A507" s="17">
        <v>1097</v>
      </c>
      <c r="B507" s="17" t="s">
        <v>851</v>
      </c>
      <c r="C507" s="17" t="s">
        <v>102</v>
      </c>
      <c r="D507" s="17">
        <v>11</v>
      </c>
      <c r="E507" s="17" t="s">
        <v>502</v>
      </c>
      <c r="F507" s="17" t="s">
        <v>540</v>
      </c>
      <c r="G507" s="17" t="s">
        <v>532</v>
      </c>
      <c r="H507" s="17" t="s">
        <v>828</v>
      </c>
      <c r="I507" s="17">
        <v>4</v>
      </c>
      <c r="J507" s="18">
        <f t="shared" si="14"/>
        <v>0</v>
      </c>
      <c r="K507" s="18">
        <f t="shared" si="15"/>
        <v>10</v>
      </c>
      <c r="L507" s="20" t="e">
        <f>IF(H507="Shipped",'Capacity &amp; Cost Dashboard'!D27+'Capacity &amp; Cost Dashboard'!D28*D507*INDEX('Capacity &amp; Cost Dashboard'!$C$31:$C$38,MATCH(INDEX(Products!$C$2:$C$31,MATCH(C507,Products!$A$2:$A$31,0)),'Capacity &amp; Cost Dashboard'!$B$31:$B$38,0)),0)</f>
        <v>#N/A</v>
      </c>
    </row>
    <row r="508" spans="1:12" ht="18" x14ac:dyDescent="0.2">
      <c r="A508" s="17">
        <v>1098</v>
      </c>
      <c r="B508" s="17" t="s">
        <v>850</v>
      </c>
      <c r="C508" s="17" t="s">
        <v>107</v>
      </c>
      <c r="D508" s="17">
        <v>6</v>
      </c>
      <c r="E508" s="17" t="s">
        <v>532</v>
      </c>
      <c r="F508" s="17" t="s">
        <v>564</v>
      </c>
      <c r="G508" s="17" t="s">
        <v>564</v>
      </c>
      <c r="H508" s="17" t="s">
        <v>828</v>
      </c>
      <c r="I508" s="17">
        <v>5</v>
      </c>
      <c r="J508" s="18">
        <f t="shared" si="14"/>
        <v>0</v>
      </c>
      <c r="K508" s="18">
        <f t="shared" si="15"/>
        <v>10</v>
      </c>
      <c r="L508" s="20">
        <f>IF(H508="Shipped",'Capacity &amp; Cost Dashboard'!D27+'Capacity &amp; Cost Dashboard'!D28*D508*INDEX('Capacity &amp; Cost Dashboard'!$C$31:$C$38,MATCH(INDEX(Products!$C$2:$C$31,MATCH(C508,Products!$A$2:$A$31,0)),'Capacity &amp; Cost Dashboard'!$B$31:$B$38,0)),0)</f>
        <v>21.5</v>
      </c>
    </row>
    <row r="509" spans="1:12" ht="18" x14ac:dyDescent="0.2">
      <c r="A509" s="17">
        <v>1099</v>
      </c>
      <c r="B509" s="17" t="s">
        <v>857</v>
      </c>
      <c r="C509" s="17" t="s">
        <v>104</v>
      </c>
      <c r="D509" s="17">
        <v>1</v>
      </c>
      <c r="E509" s="17" t="s">
        <v>553</v>
      </c>
      <c r="F509" s="17" t="s">
        <v>579</v>
      </c>
      <c r="G509" s="17" t="s">
        <v>586</v>
      </c>
      <c r="H509" s="17" t="s">
        <v>828</v>
      </c>
      <c r="I509" s="17">
        <v>5</v>
      </c>
      <c r="J509" s="18">
        <f t="shared" si="14"/>
        <v>0</v>
      </c>
      <c r="K509" s="18">
        <f t="shared" si="15"/>
        <v>10</v>
      </c>
      <c r="L509" s="20">
        <f>IF(H509="Shipped",'Capacity &amp; Cost Dashboard'!D27+'Capacity &amp; Cost Dashboard'!D28*D509*INDEX('Capacity &amp; Cost Dashboard'!$C$31:$C$38,MATCH(INDEX(Products!$C$2:$C$31,MATCH(C509,Products!$A$2:$A$31,0)),'Capacity &amp; Cost Dashboard'!$B$31:$B$38,0)),0)</f>
        <v>10.25</v>
      </c>
    </row>
    <row r="510" spans="1:12" ht="18" x14ac:dyDescent="0.2">
      <c r="A510" s="17">
        <v>1100</v>
      </c>
      <c r="B510" s="17" t="s">
        <v>842</v>
      </c>
      <c r="C510" s="17" t="s">
        <v>161</v>
      </c>
      <c r="D510" s="17">
        <v>5</v>
      </c>
      <c r="E510" s="17" t="s">
        <v>183</v>
      </c>
      <c r="F510" s="17" t="s">
        <v>573</v>
      </c>
      <c r="G510" s="17" t="s">
        <v>573</v>
      </c>
      <c r="H510" s="17" t="s">
        <v>828</v>
      </c>
      <c r="I510" s="17">
        <v>4</v>
      </c>
      <c r="J510" s="18">
        <f t="shared" si="14"/>
        <v>0</v>
      </c>
      <c r="K510" s="18">
        <f t="shared" si="15"/>
        <v>11</v>
      </c>
      <c r="L510" s="20">
        <f>IF(H510="Shipped",'Capacity &amp; Cost Dashboard'!D27+'Capacity &amp; Cost Dashboard'!D28*D510*INDEX('Capacity &amp; Cost Dashboard'!$C$31:$C$38,MATCH(INDEX(Products!$C$2:$C$31,MATCH(C510,Products!$A$2:$A$31,0)),'Capacity &amp; Cost Dashboard'!$B$31:$B$38,0)),0)</f>
        <v>14.75</v>
      </c>
    </row>
    <row r="511" spans="1:12" ht="18" x14ac:dyDescent="0.2">
      <c r="A511" s="17">
        <v>1101</v>
      </c>
      <c r="B511" s="17" t="s">
        <v>836</v>
      </c>
      <c r="C511" s="17" t="s">
        <v>100</v>
      </c>
      <c r="D511" s="17">
        <v>28</v>
      </c>
      <c r="E511" s="17" t="s">
        <v>576</v>
      </c>
      <c r="F511" s="17" t="s">
        <v>184</v>
      </c>
      <c r="G511" s="17" t="s">
        <v>618</v>
      </c>
      <c r="H511" s="17" t="s">
        <v>828</v>
      </c>
      <c r="I511" s="17">
        <v>5</v>
      </c>
      <c r="J511" s="18">
        <f t="shared" si="14"/>
        <v>0</v>
      </c>
      <c r="K511" s="18">
        <f t="shared" si="15"/>
        <v>11</v>
      </c>
      <c r="L511" s="20" t="e">
        <f>IF(H511="Shipped",'Capacity &amp; Cost Dashboard'!D27+'Capacity &amp; Cost Dashboard'!D28*D511*INDEX('Capacity &amp; Cost Dashboard'!$C$31:$C$38,MATCH(INDEX(Products!$C$2:$C$31,MATCH(C511,Products!$A$2:$A$31,0)),'Capacity &amp; Cost Dashboard'!$B$31:$B$38,0)),0)</f>
        <v>#N/A</v>
      </c>
    </row>
    <row r="512" spans="1:12" ht="18" x14ac:dyDescent="0.2">
      <c r="A512" s="17">
        <v>1102</v>
      </c>
      <c r="B512" s="17" t="s">
        <v>844</v>
      </c>
      <c r="C512" s="17" t="s">
        <v>136</v>
      </c>
      <c r="D512" s="17">
        <v>25</v>
      </c>
      <c r="E512" s="17" t="s">
        <v>183</v>
      </c>
      <c r="F512" s="17" t="s">
        <v>601</v>
      </c>
      <c r="G512" s="17" t="s">
        <v>601</v>
      </c>
      <c r="H512" s="17" t="s">
        <v>828</v>
      </c>
      <c r="I512" s="17">
        <v>4</v>
      </c>
      <c r="J512" s="18">
        <f t="shared" si="14"/>
        <v>0</v>
      </c>
      <c r="K512" s="18">
        <f t="shared" si="15"/>
        <v>11</v>
      </c>
      <c r="L512" s="20">
        <f>IF(H512="Shipped",'Capacity &amp; Cost Dashboard'!D27+'Capacity &amp; Cost Dashboard'!D28*D512*INDEX('Capacity &amp; Cost Dashboard'!$C$31:$C$38,MATCH(INDEX(Products!$C$2:$C$31,MATCH(C512,Products!$A$2:$A$31,0)),'Capacity &amp; Cost Dashboard'!$B$31:$B$38,0)),0)</f>
        <v>11.375</v>
      </c>
    </row>
    <row r="513" spans="1:12" ht="18" x14ac:dyDescent="0.2">
      <c r="A513" s="17">
        <v>1103</v>
      </c>
      <c r="B513" s="17" t="s">
        <v>842</v>
      </c>
      <c r="C513" s="17" t="s">
        <v>104</v>
      </c>
      <c r="D513" s="17">
        <v>4</v>
      </c>
      <c r="E513" s="17" t="s">
        <v>183</v>
      </c>
      <c r="F513" s="17" t="s">
        <v>601</v>
      </c>
      <c r="G513" s="17" t="s">
        <v>573</v>
      </c>
      <c r="H513" s="17" t="s">
        <v>828</v>
      </c>
      <c r="I513" s="17">
        <v>4</v>
      </c>
      <c r="J513" s="18">
        <f t="shared" si="14"/>
        <v>0</v>
      </c>
      <c r="K513" s="18">
        <f t="shared" si="15"/>
        <v>11</v>
      </c>
      <c r="L513" s="20">
        <f>IF(H513="Shipped",'Capacity &amp; Cost Dashboard'!D27+'Capacity &amp; Cost Dashboard'!D28*D513*INDEX('Capacity &amp; Cost Dashboard'!$C$31:$C$38,MATCH(INDEX(Products!$C$2:$C$31,MATCH(C513,Products!$A$2:$A$31,0)),'Capacity &amp; Cost Dashboard'!$B$31:$B$38,0)),0)</f>
        <v>17</v>
      </c>
    </row>
    <row r="514" spans="1:12" ht="18" x14ac:dyDescent="0.2">
      <c r="A514" s="17">
        <v>1104</v>
      </c>
      <c r="B514" s="17" t="s">
        <v>842</v>
      </c>
      <c r="C514" s="17" t="s">
        <v>104</v>
      </c>
      <c r="D514" s="17">
        <v>13</v>
      </c>
      <c r="E514" s="17" t="s">
        <v>573</v>
      </c>
      <c r="F514" s="17" t="s">
        <v>635</v>
      </c>
      <c r="G514" s="17" t="s">
        <v>629</v>
      </c>
      <c r="H514" s="17" t="s">
        <v>828</v>
      </c>
      <c r="I514" s="17">
        <v>2</v>
      </c>
      <c r="J514" s="18">
        <f t="shared" ref="J514:J577" si="16">IF(H514="Shipped",IF(G514&gt;F514,1,0),"")</f>
        <v>1</v>
      </c>
      <c r="K514" s="18">
        <f t="shared" ref="K514:K577" si="17">INT((DATEVALUE(E514)-DATE(2026,4,6))/7)</f>
        <v>11</v>
      </c>
      <c r="L514" s="20">
        <f>IF(H514="Shipped",'Capacity &amp; Cost Dashboard'!D27+'Capacity &amp; Cost Dashboard'!D28*D514*INDEX('Capacity &amp; Cost Dashboard'!$C$31:$C$38,MATCH(INDEX(Products!$C$2:$C$31,MATCH(C514,Products!$A$2:$A$31,0)),'Capacity &amp; Cost Dashboard'!$B$31:$B$38,0)),0)</f>
        <v>37.25</v>
      </c>
    </row>
    <row r="515" spans="1:12" ht="18" x14ac:dyDescent="0.2">
      <c r="A515" s="17">
        <v>1105</v>
      </c>
      <c r="B515" s="17" t="s">
        <v>835</v>
      </c>
      <c r="C515" s="17" t="s">
        <v>109</v>
      </c>
      <c r="D515" s="17">
        <v>6</v>
      </c>
      <c r="E515" s="17" t="s">
        <v>183</v>
      </c>
      <c r="F515" s="17" t="s">
        <v>601</v>
      </c>
      <c r="G515" s="17" t="s">
        <v>573</v>
      </c>
      <c r="H515" s="17" t="s">
        <v>828</v>
      </c>
      <c r="I515" s="17">
        <v>4</v>
      </c>
      <c r="J515" s="18">
        <f t="shared" si="16"/>
        <v>0</v>
      </c>
      <c r="K515" s="18">
        <f t="shared" si="17"/>
        <v>11</v>
      </c>
      <c r="L515" s="20">
        <f>IF(H515="Shipped",'Capacity &amp; Cost Dashboard'!D27+'Capacity &amp; Cost Dashboard'!D28*D515*INDEX('Capacity &amp; Cost Dashboard'!$C$31:$C$38,MATCH(INDEX(Products!$C$2:$C$31,MATCH(C515,Products!$A$2:$A$31,0)),'Capacity &amp; Cost Dashboard'!$B$31:$B$38,0)),0)</f>
        <v>21.5</v>
      </c>
    </row>
    <row r="516" spans="1:12" ht="18" x14ac:dyDescent="0.2">
      <c r="A516" s="17">
        <v>1106</v>
      </c>
      <c r="B516" s="17" t="s">
        <v>848</v>
      </c>
      <c r="C516" s="17" t="s">
        <v>102</v>
      </c>
      <c r="D516" s="17">
        <v>10</v>
      </c>
      <c r="E516" s="17" t="s">
        <v>576</v>
      </c>
      <c r="F516" s="17" t="s">
        <v>618</v>
      </c>
      <c r="G516" s="17" t="s">
        <v>593</v>
      </c>
      <c r="H516" s="17" t="s">
        <v>828</v>
      </c>
      <c r="I516" s="17">
        <v>3</v>
      </c>
      <c r="J516" s="18">
        <f t="shared" si="16"/>
        <v>1</v>
      </c>
      <c r="K516" s="18">
        <f t="shared" si="17"/>
        <v>11</v>
      </c>
      <c r="L516" s="20" t="e">
        <f>IF(H516="Shipped",'Capacity &amp; Cost Dashboard'!D27+'Capacity &amp; Cost Dashboard'!D28*D516*INDEX('Capacity &amp; Cost Dashboard'!$C$31:$C$38,MATCH(INDEX(Products!$C$2:$C$31,MATCH(C516,Products!$A$2:$A$31,0)),'Capacity &amp; Cost Dashboard'!$B$31:$B$38,0)),0)</f>
        <v>#N/A</v>
      </c>
    </row>
    <row r="517" spans="1:12" ht="18" x14ac:dyDescent="0.2">
      <c r="A517" s="17">
        <v>1107</v>
      </c>
      <c r="B517" s="17" t="s">
        <v>844</v>
      </c>
      <c r="C517" s="17" t="s">
        <v>125</v>
      </c>
      <c r="D517" s="17">
        <v>7</v>
      </c>
      <c r="E517" s="17" t="s">
        <v>576</v>
      </c>
      <c r="F517" s="17" t="s">
        <v>601</v>
      </c>
      <c r="G517" s="17" t="s">
        <v>573</v>
      </c>
      <c r="H517" s="17" t="s">
        <v>828</v>
      </c>
      <c r="I517" s="17">
        <v>4</v>
      </c>
      <c r="J517" s="18">
        <f t="shared" si="16"/>
        <v>0</v>
      </c>
      <c r="K517" s="18">
        <f t="shared" si="17"/>
        <v>11</v>
      </c>
      <c r="L517" s="20">
        <f>IF(H517="Shipped",'Capacity &amp; Cost Dashboard'!D27+'Capacity &amp; Cost Dashboard'!D28*D517*INDEX('Capacity &amp; Cost Dashboard'!$C$31:$C$38,MATCH(INDEX(Products!$C$2:$C$31,MATCH(C517,Products!$A$2:$A$31,0)),'Capacity &amp; Cost Dashboard'!$B$31:$B$38,0)),0)</f>
        <v>11.15</v>
      </c>
    </row>
    <row r="518" spans="1:12" ht="18" x14ac:dyDescent="0.2">
      <c r="A518" s="17">
        <v>1108</v>
      </c>
      <c r="B518" s="17" t="s">
        <v>843</v>
      </c>
      <c r="C518" s="17" t="s">
        <v>118</v>
      </c>
      <c r="D518" s="17">
        <v>6</v>
      </c>
      <c r="E518" s="17" t="s">
        <v>183</v>
      </c>
      <c r="F518" s="17" t="s">
        <v>573</v>
      </c>
      <c r="G518" s="17" t="s">
        <v>593</v>
      </c>
      <c r="H518" s="17" t="s">
        <v>828</v>
      </c>
      <c r="I518" s="17">
        <v>2</v>
      </c>
      <c r="J518" s="18">
        <f t="shared" si="16"/>
        <v>1</v>
      </c>
      <c r="K518" s="18">
        <f t="shared" si="17"/>
        <v>11</v>
      </c>
      <c r="L518" s="20">
        <f>IF(H518="Shipped",'Capacity &amp; Cost Dashboard'!D27+'Capacity &amp; Cost Dashboard'!D28*D518*INDEX('Capacity &amp; Cost Dashboard'!$C$31:$C$38,MATCH(INDEX(Products!$C$2:$C$31,MATCH(C518,Products!$A$2:$A$31,0)),'Capacity &amp; Cost Dashboard'!$B$31:$B$38,0)),0)</f>
        <v>13.4</v>
      </c>
    </row>
    <row r="519" spans="1:12" ht="18" x14ac:dyDescent="0.2">
      <c r="A519" s="17">
        <v>1109</v>
      </c>
      <c r="B519" s="17" t="s">
        <v>845</v>
      </c>
      <c r="C519" s="17" t="s">
        <v>109</v>
      </c>
      <c r="D519" s="17">
        <v>2</v>
      </c>
      <c r="E519" s="17" t="s">
        <v>564</v>
      </c>
      <c r="F519" s="17" t="s">
        <v>618</v>
      </c>
      <c r="G519" s="17" t="s">
        <v>618</v>
      </c>
      <c r="H519" s="17" t="s">
        <v>828</v>
      </c>
      <c r="I519" s="17">
        <v>4</v>
      </c>
      <c r="J519" s="18">
        <f t="shared" si="16"/>
        <v>0</v>
      </c>
      <c r="K519" s="18">
        <f t="shared" si="17"/>
        <v>11</v>
      </c>
      <c r="L519" s="20">
        <f>IF(H519="Shipped",'Capacity &amp; Cost Dashboard'!D27+'Capacity &amp; Cost Dashboard'!D28*D519*INDEX('Capacity &amp; Cost Dashboard'!$C$31:$C$38,MATCH(INDEX(Products!$C$2:$C$31,MATCH(C519,Products!$A$2:$A$31,0)),'Capacity &amp; Cost Dashboard'!$B$31:$B$38,0)),0)</f>
        <v>12.5</v>
      </c>
    </row>
    <row r="520" spans="1:12" ht="18" x14ac:dyDescent="0.2">
      <c r="A520" s="17">
        <v>1110</v>
      </c>
      <c r="B520" s="17" t="s">
        <v>852</v>
      </c>
      <c r="C520" s="17" t="s">
        <v>118</v>
      </c>
      <c r="D520" s="17">
        <v>4</v>
      </c>
      <c r="E520" s="17" t="s">
        <v>573</v>
      </c>
      <c r="F520" s="17" t="s">
        <v>635</v>
      </c>
      <c r="G520" s="17" t="s">
        <v>593</v>
      </c>
      <c r="H520" s="17" t="s">
        <v>828</v>
      </c>
      <c r="I520" s="17">
        <v>4</v>
      </c>
      <c r="J520" s="18">
        <f t="shared" si="16"/>
        <v>0</v>
      </c>
      <c r="K520" s="18">
        <f t="shared" si="17"/>
        <v>11</v>
      </c>
      <c r="L520" s="20">
        <f>IF(H520="Shipped",'Capacity &amp; Cost Dashboard'!D27+'Capacity &amp; Cost Dashboard'!D28*D520*INDEX('Capacity &amp; Cost Dashboard'!$C$31:$C$38,MATCH(INDEX(Products!$C$2:$C$31,MATCH(C520,Products!$A$2:$A$31,0)),'Capacity &amp; Cost Dashboard'!$B$31:$B$38,0)),0)</f>
        <v>11.6</v>
      </c>
    </row>
    <row r="521" spans="1:12" ht="18" x14ac:dyDescent="0.2">
      <c r="A521" s="17">
        <v>1111</v>
      </c>
      <c r="B521" s="17" t="s">
        <v>833</v>
      </c>
      <c r="C521" s="17" t="s">
        <v>161</v>
      </c>
      <c r="D521" s="17">
        <v>5</v>
      </c>
      <c r="E521" s="17" t="s">
        <v>573</v>
      </c>
      <c r="F521" s="17" t="s">
        <v>635</v>
      </c>
      <c r="G521" s="17" t="s">
        <v>635</v>
      </c>
      <c r="H521" s="17" t="s">
        <v>828</v>
      </c>
      <c r="I521" s="17">
        <v>5</v>
      </c>
      <c r="J521" s="18">
        <f t="shared" si="16"/>
        <v>0</v>
      </c>
      <c r="K521" s="18">
        <f t="shared" si="17"/>
        <v>11</v>
      </c>
      <c r="L521" s="20">
        <f>IF(H521="Shipped",'Capacity &amp; Cost Dashboard'!D27+'Capacity &amp; Cost Dashboard'!D28*D521*INDEX('Capacity &amp; Cost Dashboard'!$C$31:$C$38,MATCH(INDEX(Products!$C$2:$C$31,MATCH(C521,Products!$A$2:$A$31,0)),'Capacity &amp; Cost Dashboard'!$B$31:$B$38,0)),0)</f>
        <v>14.75</v>
      </c>
    </row>
    <row r="522" spans="1:12" ht="18" x14ac:dyDescent="0.2">
      <c r="A522" s="17">
        <v>1112</v>
      </c>
      <c r="B522" s="17" t="s">
        <v>843</v>
      </c>
      <c r="C522" s="17" t="s">
        <v>118</v>
      </c>
      <c r="D522" s="17">
        <v>9</v>
      </c>
      <c r="E522" s="17" t="s">
        <v>576</v>
      </c>
      <c r="F522" s="17" t="s">
        <v>184</v>
      </c>
      <c r="G522" s="17" t="s">
        <v>184</v>
      </c>
      <c r="H522" s="17" t="s">
        <v>828</v>
      </c>
      <c r="I522" s="17">
        <v>5</v>
      </c>
      <c r="J522" s="18">
        <f t="shared" si="16"/>
        <v>0</v>
      </c>
      <c r="K522" s="18">
        <f t="shared" si="17"/>
        <v>11</v>
      </c>
      <c r="L522" s="20">
        <f>IF(H522="Shipped",'Capacity &amp; Cost Dashboard'!D27+'Capacity &amp; Cost Dashboard'!D28*D522*INDEX('Capacity &amp; Cost Dashboard'!$C$31:$C$38,MATCH(INDEX(Products!$C$2:$C$31,MATCH(C522,Products!$A$2:$A$31,0)),'Capacity &amp; Cost Dashboard'!$B$31:$B$38,0)),0)</f>
        <v>16.100000000000001</v>
      </c>
    </row>
    <row r="523" spans="1:12" ht="18" x14ac:dyDescent="0.2">
      <c r="A523" s="17">
        <v>1113</v>
      </c>
      <c r="B523" s="17" t="s">
        <v>836</v>
      </c>
      <c r="C523" s="17" t="s">
        <v>134</v>
      </c>
      <c r="D523" s="17">
        <v>11</v>
      </c>
      <c r="E523" s="17" t="s">
        <v>596</v>
      </c>
      <c r="F523" s="17" t="s">
        <v>593</v>
      </c>
      <c r="G523" s="17" t="s">
        <v>593</v>
      </c>
      <c r="H523" s="17" t="s">
        <v>828</v>
      </c>
      <c r="I523" s="17">
        <v>5</v>
      </c>
      <c r="J523" s="18">
        <f t="shared" si="16"/>
        <v>0</v>
      </c>
      <c r="K523" s="18">
        <f t="shared" si="17"/>
        <v>11</v>
      </c>
      <c r="L523" s="20">
        <f>IF(H523="Shipped",'Capacity &amp; Cost Dashboard'!D27+'Capacity &amp; Cost Dashboard'!D28*D523*INDEX('Capacity &amp; Cost Dashboard'!$C$31:$C$38,MATCH(INDEX(Products!$C$2:$C$31,MATCH(C523,Products!$A$2:$A$31,0)),'Capacity &amp; Cost Dashboard'!$B$31:$B$38,0)),0)</f>
        <v>17.899999999999999</v>
      </c>
    </row>
    <row r="524" spans="1:12" ht="18" x14ac:dyDescent="0.2">
      <c r="A524" s="17">
        <v>1114</v>
      </c>
      <c r="B524" s="17" t="s">
        <v>839</v>
      </c>
      <c r="C524" s="17" t="s">
        <v>107</v>
      </c>
      <c r="D524" s="17">
        <v>8</v>
      </c>
      <c r="E524" s="17" t="s">
        <v>576</v>
      </c>
      <c r="F524" s="17" t="s">
        <v>184</v>
      </c>
      <c r="G524" s="17" t="s">
        <v>635</v>
      </c>
      <c r="H524" s="17" t="s">
        <v>828</v>
      </c>
      <c r="I524" s="17">
        <v>2</v>
      </c>
      <c r="J524" s="18">
        <f t="shared" si="16"/>
        <v>1</v>
      </c>
      <c r="K524" s="18">
        <f t="shared" si="17"/>
        <v>11</v>
      </c>
      <c r="L524" s="20">
        <f>IF(H524="Shipped",'Capacity &amp; Cost Dashboard'!D27+'Capacity &amp; Cost Dashboard'!D28*D524*INDEX('Capacity &amp; Cost Dashboard'!$C$31:$C$38,MATCH(INDEX(Products!$C$2:$C$31,MATCH(C524,Products!$A$2:$A$31,0)),'Capacity &amp; Cost Dashboard'!$B$31:$B$38,0)),0)</f>
        <v>26</v>
      </c>
    </row>
    <row r="525" spans="1:12" ht="18" x14ac:dyDescent="0.2">
      <c r="A525" s="17">
        <v>1115</v>
      </c>
      <c r="B525" s="17" t="s">
        <v>842</v>
      </c>
      <c r="C525" s="17" t="s">
        <v>120</v>
      </c>
      <c r="D525" s="17">
        <v>12</v>
      </c>
      <c r="E525" s="17" t="s">
        <v>596</v>
      </c>
      <c r="F525" s="17" t="s">
        <v>184</v>
      </c>
      <c r="G525" s="17" t="s">
        <v>184</v>
      </c>
      <c r="H525" s="17" t="s">
        <v>828</v>
      </c>
      <c r="I525" s="17">
        <v>4</v>
      </c>
      <c r="J525" s="18">
        <f t="shared" si="16"/>
        <v>0</v>
      </c>
      <c r="K525" s="18">
        <f t="shared" si="17"/>
        <v>11</v>
      </c>
      <c r="L525" s="20">
        <f>IF(H525="Shipped",'Capacity &amp; Cost Dashboard'!D27+'Capacity &amp; Cost Dashboard'!D28*D525*INDEX('Capacity &amp; Cost Dashboard'!$C$31:$C$38,MATCH(INDEX(Products!$C$2:$C$31,MATCH(C525,Products!$A$2:$A$31,0)),'Capacity &amp; Cost Dashboard'!$B$31:$B$38,0)),0)</f>
        <v>13.4</v>
      </c>
    </row>
    <row r="526" spans="1:12" ht="18" x14ac:dyDescent="0.2">
      <c r="A526" s="17">
        <v>1116</v>
      </c>
      <c r="B526" s="17" t="s">
        <v>856</v>
      </c>
      <c r="C526" s="17" t="s">
        <v>143</v>
      </c>
      <c r="D526" s="17">
        <v>2</v>
      </c>
      <c r="E526" s="17" t="s">
        <v>564</v>
      </c>
      <c r="F526" s="17" t="s">
        <v>601</v>
      </c>
      <c r="G526" s="17" t="s">
        <v>573</v>
      </c>
      <c r="H526" s="17" t="s">
        <v>828</v>
      </c>
      <c r="I526" s="17">
        <v>5</v>
      </c>
      <c r="J526" s="18">
        <f t="shared" si="16"/>
        <v>0</v>
      </c>
      <c r="K526" s="18">
        <f t="shared" si="17"/>
        <v>11</v>
      </c>
      <c r="L526" s="20">
        <f>IF(H526="Shipped",'Capacity &amp; Cost Dashboard'!D27+'Capacity &amp; Cost Dashboard'!D28*D526*INDEX('Capacity &amp; Cost Dashboard'!$C$31:$C$38,MATCH(INDEX(Products!$C$2:$C$31,MATCH(C526,Products!$A$2:$A$31,0)),'Capacity &amp; Cost Dashboard'!$B$31:$B$38,0)),0)</f>
        <v>8.27</v>
      </c>
    </row>
    <row r="527" spans="1:12" ht="18" x14ac:dyDescent="0.2">
      <c r="A527" s="17">
        <v>1117</v>
      </c>
      <c r="B527" s="17" t="s">
        <v>853</v>
      </c>
      <c r="C527" s="17" t="s">
        <v>127</v>
      </c>
      <c r="D527" s="17">
        <v>3</v>
      </c>
      <c r="E527" s="17" t="s">
        <v>573</v>
      </c>
      <c r="F527" s="17" t="s">
        <v>635</v>
      </c>
      <c r="G527" s="17" t="s">
        <v>656</v>
      </c>
      <c r="H527" s="17" t="s">
        <v>828</v>
      </c>
      <c r="I527" s="17">
        <v>2</v>
      </c>
      <c r="J527" s="18">
        <f t="shared" si="16"/>
        <v>1</v>
      </c>
      <c r="K527" s="18">
        <f t="shared" si="17"/>
        <v>11</v>
      </c>
      <c r="L527" s="20">
        <f>IF(H527="Shipped",'Capacity &amp; Cost Dashboard'!D27+'Capacity &amp; Cost Dashboard'!D28*D527*INDEX('Capacity &amp; Cost Dashboard'!$C$31:$C$38,MATCH(INDEX(Products!$C$2:$C$31,MATCH(C527,Products!$A$2:$A$31,0)),'Capacity &amp; Cost Dashboard'!$B$31:$B$38,0)),0)</f>
        <v>10.7</v>
      </c>
    </row>
    <row r="528" spans="1:12" ht="18" x14ac:dyDescent="0.2">
      <c r="A528" s="17">
        <v>1118</v>
      </c>
      <c r="B528" s="17" t="s">
        <v>836</v>
      </c>
      <c r="C528" s="17" t="s">
        <v>136</v>
      </c>
      <c r="D528" s="17">
        <v>13</v>
      </c>
      <c r="E528" s="17" t="s">
        <v>183</v>
      </c>
      <c r="F528" s="17" t="s">
        <v>573</v>
      </c>
      <c r="G528" s="17" t="s">
        <v>596</v>
      </c>
      <c r="H528" s="17" t="s">
        <v>828</v>
      </c>
      <c r="I528" s="17">
        <v>5</v>
      </c>
      <c r="J528" s="18">
        <f t="shared" si="16"/>
        <v>0</v>
      </c>
      <c r="K528" s="18">
        <f t="shared" si="17"/>
        <v>11</v>
      </c>
      <c r="L528" s="20">
        <f>IF(H528="Shipped",'Capacity &amp; Cost Dashboard'!D27+'Capacity &amp; Cost Dashboard'!D28*D528*INDEX('Capacity &amp; Cost Dashboard'!$C$31:$C$38,MATCH(INDEX(Products!$C$2:$C$31,MATCH(C528,Products!$A$2:$A$31,0)),'Capacity &amp; Cost Dashboard'!$B$31:$B$38,0)),0)</f>
        <v>9.7550000000000008</v>
      </c>
    </row>
    <row r="529" spans="1:12" ht="18" x14ac:dyDescent="0.2">
      <c r="A529" s="17">
        <v>1119</v>
      </c>
      <c r="B529" s="17" t="s">
        <v>848</v>
      </c>
      <c r="C529" s="17" t="s">
        <v>116</v>
      </c>
      <c r="D529" s="17">
        <v>5</v>
      </c>
      <c r="E529" s="17" t="s">
        <v>183</v>
      </c>
      <c r="F529" s="17" t="s">
        <v>601</v>
      </c>
      <c r="G529" s="17" t="s">
        <v>573</v>
      </c>
      <c r="H529" s="17" t="s">
        <v>828</v>
      </c>
      <c r="I529" s="17">
        <v>4</v>
      </c>
      <c r="J529" s="18">
        <f t="shared" si="16"/>
        <v>0</v>
      </c>
      <c r="K529" s="18">
        <f t="shared" si="17"/>
        <v>11</v>
      </c>
      <c r="L529" s="20">
        <f>IF(H529="Shipped",'Capacity &amp; Cost Dashboard'!D27+'Capacity &amp; Cost Dashboard'!D28*D529*INDEX('Capacity &amp; Cost Dashboard'!$C$31:$C$38,MATCH(INDEX(Products!$C$2:$C$31,MATCH(C529,Products!$A$2:$A$31,0)),'Capacity &amp; Cost Dashboard'!$B$31:$B$38,0)),0)</f>
        <v>12.5</v>
      </c>
    </row>
    <row r="530" spans="1:12" ht="18" x14ac:dyDescent="0.2">
      <c r="A530" s="17">
        <v>1120</v>
      </c>
      <c r="B530" s="17" t="s">
        <v>829</v>
      </c>
      <c r="C530" s="17" t="s">
        <v>154</v>
      </c>
      <c r="D530" s="17">
        <v>6</v>
      </c>
      <c r="E530" s="17" t="s">
        <v>576</v>
      </c>
      <c r="F530" s="17" t="s">
        <v>184</v>
      </c>
      <c r="G530" s="17" t="s">
        <v>184</v>
      </c>
      <c r="H530" s="17" t="s">
        <v>828</v>
      </c>
      <c r="I530" s="17">
        <v>5</v>
      </c>
      <c r="J530" s="18">
        <f t="shared" si="16"/>
        <v>0</v>
      </c>
      <c r="K530" s="18">
        <f t="shared" si="17"/>
        <v>11</v>
      </c>
      <c r="L530" s="20">
        <f>IF(H530="Shipped",'Capacity &amp; Cost Dashboard'!D27+'Capacity &amp; Cost Dashboard'!D28*D530*INDEX('Capacity &amp; Cost Dashboard'!$C$31:$C$38,MATCH(INDEX(Products!$C$2:$C$31,MATCH(C530,Products!$A$2:$A$31,0)),'Capacity &amp; Cost Dashboard'!$B$31:$B$38,0)),0)</f>
        <v>12.05</v>
      </c>
    </row>
    <row r="531" spans="1:12" ht="18" x14ac:dyDescent="0.2">
      <c r="A531" s="17">
        <v>1121</v>
      </c>
      <c r="B531" s="17" t="s">
        <v>855</v>
      </c>
      <c r="C531" s="17" t="s">
        <v>127</v>
      </c>
      <c r="D531" s="17">
        <v>8</v>
      </c>
      <c r="E531" s="17" t="s">
        <v>573</v>
      </c>
      <c r="F531" s="17" t="s">
        <v>593</v>
      </c>
      <c r="G531" s="17" t="s">
        <v>593</v>
      </c>
      <c r="H531" s="17" t="s">
        <v>828</v>
      </c>
      <c r="I531" s="17">
        <v>4</v>
      </c>
      <c r="J531" s="18">
        <f t="shared" si="16"/>
        <v>0</v>
      </c>
      <c r="K531" s="18">
        <f t="shared" si="17"/>
        <v>11</v>
      </c>
      <c r="L531" s="20">
        <f>IF(H531="Shipped",'Capacity &amp; Cost Dashboard'!D27+'Capacity &amp; Cost Dashboard'!D28*D531*INDEX('Capacity &amp; Cost Dashboard'!$C$31:$C$38,MATCH(INDEX(Products!$C$2:$C$31,MATCH(C531,Products!$A$2:$A$31,0)),'Capacity &amp; Cost Dashboard'!$B$31:$B$38,0)),0)</f>
        <v>15.2</v>
      </c>
    </row>
    <row r="532" spans="1:12" ht="18" x14ac:dyDescent="0.2">
      <c r="A532" s="17">
        <v>1122</v>
      </c>
      <c r="B532" s="17" t="s">
        <v>851</v>
      </c>
      <c r="C532" s="17" t="s">
        <v>134</v>
      </c>
      <c r="D532" s="17">
        <v>14</v>
      </c>
      <c r="E532" s="17" t="s">
        <v>564</v>
      </c>
      <c r="F532" s="17" t="s">
        <v>601</v>
      </c>
      <c r="G532" s="17" t="s">
        <v>593</v>
      </c>
      <c r="H532" s="17" t="s">
        <v>828</v>
      </c>
      <c r="I532" s="17">
        <v>2</v>
      </c>
      <c r="J532" s="18">
        <f t="shared" si="16"/>
        <v>1</v>
      </c>
      <c r="K532" s="18">
        <f t="shared" si="17"/>
        <v>11</v>
      </c>
      <c r="L532" s="20">
        <f>IF(H532="Shipped",'Capacity &amp; Cost Dashboard'!D27+'Capacity &amp; Cost Dashboard'!D28*D532*INDEX('Capacity &amp; Cost Dashboard'!$C$31:$C$38,MATCH(INDEX(Products!$C$2:$C$31,MATCH(C532,Products!$A$2:$A$31,0)),'Capacity &amp; Cost Dashboard'!$B$31:$B$38,0)),0)</f>
        <v>20.6</v>
      </c>
    </row>
    <row r="533" spans="1:12" ht="18" x14ac:dyDescent="0.2">
      <c r="A533" s="17">
        <v>1123</v>
      </c>
      <c r="B533" s="17" t="s">
        <v>845</v>
      </c>
      <c r="C533" s="17" t="s">
        <v>113</v>
      </c>
      <c r="D533" s="17">
        <v>10</v>
      </c>
      <c r="E533" s="17" t="s">
        <v>596</v>
      </c>
      <c r="F533" s="17" t="s">
        <v>184</v>
      </c>
      <c r="G533" s="17" t="s">
        <v>629</v>
      </c>
      <c r="H533" s="17" t="s">
        <v>828</v>
      </c>
      <c r="I533" s="17">
        <v>2</v>
      </c>
      <c r="J533" s="18">
        <f t="shared" si="16"/>
        <v>1</v>
      </c>
      <c r="K533" s="18">
        <f t="shared" si="17"/>
        <v>11</v>
      </c>
      <c r="L533" s="20">
        <f>IF(H533="Shipped",'Capacity &amp; Cost Dashboard'!D27+'Capacity &amp; Cost Dashboard'!D28*D533*INDEX('Capacity &amp; Cost Dashboard'!$C$31:$C$38,MATCH(INDEX(Products!$C$2:$C$31,MATCH(C533,Products!$A$2:$A$31,0)),'Capacity &amp; Cost Dashboard'!$B$31:$B$38,0)),0)</f>
        <v>17</v>
      </c>
    </row>
    <row r="534" spans="1:12" ht="18" x14ac:dyDescent="0.2">
      <c r="A534" s="17">
        <v>1124</v>
      </c>
      <c r="B534" s="17" t="s">
        <v>852</v>
      </c>
      <c r="C534" s="17" t="s">
        <v>107</v>
      </c>
      <c r="D534" s="17">
        <v>1</v>
      </c>
      <c r="E534" s="17" t="s">
        <v>183</v>
      </c>
      <c r="F534" s="17" t="s">
        <v>601</v>
      </c>
      <c r="G534" s="17" t="s">
        <v>601</v>
      </c>
      <c r="H534" s="17" t="s">
        <v>828</v>
      </c>
      <c r="I534" s="17">
        <v>5</v>
      </c>
      <c r="J534" s="18">
        <f t="shared" si="16"/>
        <v>0</v>
      </c>
      <c r="K534" s="18">
        <f t="shared" si="17"/>
        <v>11</v>
      </c>
      <c r="L534" s="20">
        <f>IF(H534="Shipped",'Capacity &amp; Cost Dashboard'!D27+'Capacity &amp; Cost Dashboard'!D28*D534*INDEX('Capacity &amp; Cost Dashboard'!$C$31:$C$38,MATCH(INDEX(Products!$C$2:$C$31,MATCH(C534,Products!$A$2:$A$31,0)),'Capacity &amp; Cost Dashboard'!$B$31:$B$38,0)),0)</f>
        <v>10.25</v>
      </c>
    </row>
    <row r="535" spans="1:12" ht="18" x14ac:dyDescent="0.2">
      <c r="A535" s="17">
        <v>1125</v>
      </c>
      <c r="B535" s="17" t="s">
        <v>855</v>
      </c>
      <c r="C535" s="17" t="s">
        <v>120</v>
      </c>
      <c r="D535" s="17">
        <v>5</v>
      </c>
      <c r="E535" s="17" t="s">
        <v>564</v>
      </c>
      <c r="F535" s="17" t="s">
        <v>618</v>
      </c>
      <c r="G535" s="17" t="s">
        <v>601</v>
      </c>
      <c r="H535" s="17" t="s">
        <v>828</v>
      </c>
      <c r="I535" s="17">
        <v>5</v>
      </c>
      <c r="J535" s="18">
        <f t="shared" si="16"/>
        <v>0</v>
      </c>
      <c r="K535" s="18">
        <f t="shared" si="17"/>
        <v>11</v>
      </c>
      <c r="L535" s="20">
        <f>IF(H535="Shipped",'Capacity &amp; Cost Dashboard'!D27+'Capacity &amp; Cost Dashboard'!D28*D535*INDEX('Capacity &amp; Cost Dashboard'!$C$31:$C$38,MATCH(INDEX(Products!$C$2:$C$31,MATCH(C535,Products!$A$2:$A$31,0)),'Capacity &amp; Cost Dashboard'!$B$31:$B$38,0)),0)</f>
        <v>10.25</v>
      </c>
    </row>
    <row r="536" spans="1:12" ht="18" x14ac:dyDescent="0.2">
      <c r="A536" s="17">
        <v>1126</v>
      </c>
      <c r="B536" s="17" t="s">
        <v>826</v>
      </c>
      <c r="C536" s="17" t="s">
        <v>113</v>
      </c>
      <c r="D536" s="17">
        <v>9</v>
      </c>
      <c r="E536" s="17" t="s">
        <v>596</v>
      </c>
      <c r="F536" s="17" t="s">
        <v>593</v>
      </c>
      <c r="G536" s="17" t="s">
        <v>184</v>
      </c>
      <c r="H536" s="17" t="s">
        <v>828</v>
      </c>
      <c r="I536" s="17">
        <v>4</v>
      </c>
      <c r="J536" s="18">
        <f t="shared" si="16"/>
        <v>0</v>
      </c>
      <c r="K536" s="18">
        <f t="shared" si="17"/>
        <v>11</v>
      </c>
      <c r="L536" s="20">
        <f>IF(H536="Shipped",'Capacity &amp; Cost Dashboard'!D27+'Capacity &amp; Cost Dashboard'!D28*D536*INDEX('Capacity &amp; Cost Dashboard'!$C$31:$C$38,MATCH(INDEX(Products!$C$2:$C$31,MATCH(C536,Products!$A$2:$A$31,0)),'Capacity &amp; Cost Dashboard'!$B$31:$B$38,0)),0)</f>
        <v>16.100000000000001</v>
      </c>
    </row>
    <row r="537" spans="1:12" ht="18" x14ac:dyDescent="0.2">
      <c r="A537" s="17">
        <v>1127</v>
      </c>
      <c r="B537" s="17" t="s">
        <v>843</v>
      </c>
      <c r="C537" s="17" t="s">
        <v>136</v>
      </c>
      <c r="D537" s="17">
        <v>23</v>
      </c>
      <c r="E537" s="17" t="s">
        <v>576</v>
      </c>
      <c r="F537" s="17" t="s">
        <v>184</v>
      </c>
      <c r="G537" s="17" t="s">
        <v>184</v>
      </c>
      <c r="H537" s="17" t="s">
        <v>828</v>
      </c>
      <c r="I537" s="17">
        <v>4</v>
      </c>
      <c r="J537" s="18">
        <f t="shared" si="16"/>
        <v>0</v>
      </c>
      <c r="K537" s="18">
        <f t="shared" si="17"/>
        <v>11</v>
      </c>
      <c r="L537" s="20">
        <f>IF(H537="Shipped",'Capacity &amp; Cost Dashboard'!D27+'Capacity &amp; Cost Dashboard'!D28*D537*INDEX('Capacity &amp; Cost Dashboard'!$C$31:$C$38,MATCH(INDEX(Products!$C$2:$C$31,MATCH(C537,Products!$A$2:$A$31,0)),'Capacity &amp; Cost Dashboard'!$B$31:$B$38,0)),0)</f>
        <v>11.105</v>
      </c>
    </row>
    <row r="538" spans="1:12" ht="18" x14ac:dyDescent="0.2">
      <c r="A538" s="17">
        <v>1128</v>
      </c>
      <c r="B538" s="17" t="s">
        <v>843</v>
      </c>
      <c r="C538" s="17" t="s">
        <v>154</v>
      </c>
      <c r="D538" s="17">
        <v>1</v>
      </c>
      <c r="E538" s="17" t="s">
        <v>596</v>
      </c>
      <c r="F538" s="17" t="s">
        <v>593</v>
      </c>
      <c r="G538" s="17" t="s">
        <v>629</v>
      </c>
      <c r="H538" s="17" t="s">
        <v>828</v>
      </c>
      <c r="I538" s="17">
        <v>2</v>
      </c>
      <c r="J538" s="18">
        <f t="shared" si="16"/>
        <v>1</v>
      </c>
      <c r="K538" s="18">
        <f t="shared" si="17"/>
        <v>11</v>
      </c>
      <c r="L538" s="20">
        <f>IF(H538="Shipped",'Capacity &amp; Cost Dashboard'!D27+'Capacity &amp; Cost Dashboard'!D28*D538*INDEX('Capacity &amp; Cost Dashboard'!$C$31:$C$38,MATCH(INDEX(Products!$C$2:$C$31,MATCH(C538,Products!$A$2:$A$31,0)),'Capacity &amp; Cost Dashboard'!$B$31:$B$38,0)),0)</f>
        <v>8.6750000000000007</v>
      </c>
    </row>
    <row r="539" spans="1:12" ht="18" x14ac:dyDescent="0.2">
      <c r="A539" s="17">
        <v>1129</v>
      </c>
      <c r="B539" s="17" t="s">
        <v>826</v>
      </c>
      <c r="C539" s="17" t="s">
        <v>102</v>
      </c>
      <c r="D539" s="17">
        <v>18</v>
      </c>
      <c r="E539" s="17" t="s">
        <v>564</v>
      </c>
      <c r="F539" s="17" t="s">
        <v>573</v>
      </c>
      <c r="G539" s="17" t="s">
        <v>596</v>
      </c>
      <c r="H539" s="17" t="s">
        <v>828</v>
      </c>
      <c r="I539" s="17">
        <v>5</v>
      </c>
      <c r="J539" s="18">
        <f t="shared" si="16"/>
        <v>0</v>
      </c>
      <c r="K539" s="18">
        <f t="shared" si="17"/>
        <v>11</v>
      </c>
      <c r="L539" s="20" t="e">
        <f>IF(H539="Shipped",'Capacity &amp; Cost Dashboard'!D27+'Capacity &amp; Cost Dashboard'!D28*D539*INDEX('Capacity &amp; Cost Dashboard'!$C$31:$C$38,MATCH(INDEX(Products!$C$2:$C$31,MATCH(C539,Products!$A$2:$A$31,0)),'Capacity &amp; Cost Dashboard'!$B$31:$B$38,0)),0)</f>
        <v>#N/A</v>
      </c>
    </row>
    <row r="540" spans="1:12" ht="18" x14ac:dyDescent="0.2">
      <c r="A540" s="17">
        <v>1130</v>
      </c>
      <c r="B540" s="17" t="s">
        <v>843</v>
      </c>
      <c r="C540" s="17" t="s">
        <v>141</v>
      </c>
      <c r="D540" s="17">
        <v>4</v>
      </c>
      <c r="E540" s="17" t="s">
        <v>183</v>
      </c>
      <c r="F540" s="17" t="s">
        <v>601</v>
      </c>
      <c r="G540" s="17" t="s">
        <v>573</v>
      </c>
      <c r="H540" s="17" t="s">
        <v>828</v>
      </c>
      <c r="I540" s="17">
        <v>5</v>
      </c>
      <c r="J540" s="18">
        <f t="shared" si="16"/>
        <v>0</v>
      </c>
      <c r="K540" s="18">
        <f t="shared" si="17"/>
        <v>11</v>
      </c>
      <c r="L540" s="20">
        <f>IF(H540="Shipped",'Capacity &amp; Cost Dashboard'!D27+'Capacity &amp; Cost Dashboard'!D28*D540*INDEX('Capacity &amp; Cost Dashboard'!$C$31:$C$38,MATCH(INDEX(Products!$C$2:$C$31,MATCH(C540,Products!$A$2:$A$31,0)),'Capacity &amp; Cost Dashboard'!$B$31:$B$38,0)),0)</f>
        <v>8.5399999999999991</v>
      </c>
    </row>
    <row r="541" spans="1:12" ht="18" x14ac:dyDescent="0.2">
      <c r="A541" s="17">
        <v>1131</v>
      </c>
      <c r="B541" s="17" t="s">
        <v>836</v>
      </c>
      <c r="C541" s="17" t="s">
        <v>123</v>
      </c>
      <c r="D541" s="17">
        <v>5</v>
      </c>
      <c r="E541" s="17" t="s">
        <v>573</v>
      </c>
      <c r="F541" s="17" t="s">
        <v>635</v>
      </c>
      <c r="G541" s="17" t="s">
        <v>626</v>
      </c>
      <c r="H541" s="17" t="s">
        <v>828</v>
      </c>
      <c r="I541" s="17">
        <v>2</v>
      </c>
      <c r="J541" s="18">
        <f t="shared" si="16"/>
        <v>1</v>
      </c>
      <c r="K541" s="18">
        <f t="shared" si="17"/>
        <v>11</v>
      </c>
      <c r="L541" s="20">
        <f>IF(H541="Shipped",'Capacity &amp; Cost Dashboard'!D27+'Capacity &amp; Cost Dashboard'!D28*D541*INDEX('Capacity &amp; Cost Dashboard'!$C$31:$C$38,MATCH(INDEX(Products!$C$2:$C$31,MATCH(C541,Products!$A$2:$A$31,0)),'Capacity &amp; Cost Dashboard'!$B$31:$B$38,0)),0)</f>
        <v>10.25</v>
      </c>
    </row>
    <row r="542" spans="1:12" ht="18" x14ac:dyDescent="0.2">
      <c r="A542" s="17">
        <v>1132</v>
      </c>
      <c r="B542" s="17" t="s">
        <v>856</v>
      </c>
      <c r="C542" s="17" t="s">
        <v>104</v>
      </c>
      <c r="D542" s="17">
        <v>7</v>
      </c>
      <c r="E542" s="17" t="s">
        <v>573</v>
      </c>
      <c r="F542" s="17" t="s">
        <v>635</v>
      </c>
      <c r="G542" s="17" t="s">
        <v>629</v>
      </c>
      <c r="H542" s="17" t="s">
        <v>828</v>
      </c>
      <c r="I542" s="17">
        <v>2</v>
      </c>
      <c r="J542" s="18">
        <f t="shared" si="16"/>
        <v>1</v>
      </c>
      <c r="K542" s="18">
        <f t="shared" si="17"/>
        <v>11</v>
      </c>
      <c r="L542" s="20">
        <f>IF(H542="Shipped",'Capacity &amp; Cost Dashboard'!D27+'Capacity &amp; Cost Dashboard'!D28*D542*INDEX('Capacity &amp; Cost Dashboard'!$C$31:$C$38,MATCH(INDEX(Products!$C$2:$C$31,MATCH(C542,Products!$A$2:$A$31,0)),'Capacity &amp; Cost Dashboard'!$B$31:$B$38,0)),0)</f>
        <v>23.75</v>
      </c>
    </row>
    <row r="543" spans="1:12" ht="18" x14ac:dyDescent="0.2">
      <c r="A543" s="17">
        <v>1133</v>
      </c>
      <c r="B543" s="17" t="s">
        <v>841</v>
      </c>
      <c r="C543" s="17" t="s">
        <v>123</v>
      </c>
      <c r="D543" s="17">
        <v>7</v>
      </c>
      <c r="E543" s="17" t="s">
        <v>564</v>
      </c>
      <c r="F543" s="17" t="s">
        <v>618</v>
      </c>
      <c r="G543" s="17" t="s">
        <v>635</v>
      </c>
      <c r="H543" s="17" t="s">
        <v>828</v>
      </c>
      <c r="I543" s="17">
        <v>3</v>
      </c>
      <c r="J543" s="18">
        <f t="shared" si="16"/>
        <v>1</v>
      </c>
      <c r="K543" s="18">
        <f t="shared" si="17"/>
        <v>11</v>
      </c>
      <c r="L543" s="20">
        <f>IF(H543="Shipped",'Capacity &amp; Cost Dashboard'!D27+'Capacity &amp; Cost Dashboard'!D28*D543*INDEX('Capacity &amp; Cost Dashboard'!$C$31:$C$38,MATCH(INDEX(Products!$C$2:$C$31,MATCH(C543,Products!$A$2:$A$31,0)),'Capacity &amp; Cost Dashboard'!$B$31:$B$38,0)),0)</f>
        <v>11.15</v>
      </c>
    </row>
    <row r="544" spans="1:12" ht="18" x14ac:dyDescent="0.2">
      <c r="A544" s="17">
        <v>1134</v>
      </c>
      <c r="B544" s="17" t="s">
        <v>838</v>
      </c>
      <c r="C544" s="17" t="s">
        <v>139</v>
      </c>
      <c r="D544" s="17">
        <v>3</v>
      </c>
      <c r="E544" s="17" t="s">
        <v>564</v>
      </c>
      <c r="F544" s="17" t="s">
        <v>618</v>
      </c>
      <c r="G544" s="17" t="s">
        <v>601</v>
      </c>
      <c r="H544" s="17" t="s">
        <v>828</v>
      </c>
      <c r="I544" s="17">
        <v>5</v>
      </c>
      <c r="J544" s="18">
        <f t="shared" si="16"/>
        <v>0</v>
      </c>
      <c r="K544" s="18">
        <f t="shared" si="17"/>
        <v>11</v>
      </c>
      <c r="L544" s="20">
        <f>IF(H544="Shipped",'Capacity &amp; Cost Dashboard'!D27+'Capacity &amp; Cost Dashboard'!D28*D544*INDEX('Capacity &amp; Cost Dashboard'!$C$31:$C$38,MATCH(INDEX(Products!$C$2:$C$31,MATCH(C544,Products!$A$2:$A$31,0)),'Capacity &amp; Cost Dashboard'!$B$31:$B$38,0)),0)</f>
        <v>8.4049999999999994</v>
      </c>
    </row>
    <row r="545" spans="1:12" ht="18" x14ac:dyDescent="0.2">
      <c r="A545" s="17">
        <v>1135</v>
      </c>
      <c r="B545" s="17" t="s">
        <v>854</v>
      </c>
      <c r="C545" s="17" t="s">
        <v>127</v>
      </c>
      <c r="D545" s="17">
        <v>9</v>
      </c>
      <c r="E545" s="17" t="s">
        <v>564</v>
      </c>
      <c r="F545" s="17" t="s">
        <v>573</v>
      </c>
      <c r="G545" s="17" t="s">
        <v>573</v>
      </c>
      <c r="H545" s="17" t="s">
        <v>828</v>
      </c>
      <c r="I545" s="17">
        <v>5</v>
      </c>
      <c r="J545" s="18">
        <f t="shared" si="16"/>
        <v>0</v>
      </c>
      <c r="K545" s="18">
        <f t="shared" si="17"/>
        <v>11</v>
      </c>
      <c r="L545" s="20">
        <f>IF(H545="Shipped",'Capacity &amp; Cost Dashboard'!D27+'Capacity &amp; Cost Dashboard'!D28*D545*INDEX('Capacity &amp; Cost Dashboard'!$C$31:$C$38,MATCH(INDEX(Products!$C$2:$C$31,MATCH(C545,Products!$A$2:$A$31,0)),'Capacity &amp; Cost Dashboard'!$B$31:$B$38,0)),0)</f>
        <v>16.100000000000001</v>
      </c>
    </row>
    <row r="546" spans="1:12" ht="18" x14ac:dyDescent="0.2">
      <c r="A546" s="17">
        <v>1136</v>
      </c>
      <c r="B546" s="17" t="s">
        <v>832</v>
      </c>
      <c r="C546" s="17" t="s">
        <v>139</v>
      </c>
      <c r="D546" s="17">
        <v>8</v>
      </c>
      <c r="E546" s="17" t="s">
        <v>576</v>
      </c>
      <c r="F546" s="17" t="s">
        <v>601</v>
      </c>
      <c r="G546" s="17" t="s">
        <v>618</v>
      </c>
      <c r="H546" s="17" t="s">
        <v>828</v>
      </c>
      <c r="I546" s="17">
        <v>4</v>
      </c>
      <c r="J546" s="18">
        <f t="shared" si="16"/>
        <v>1</v>
      </c>
      <c r="K546" s="18">
        <f t="shared" si="17"/>
        <v>11</v>
      </c>
      <c r="L546" s="20">
        <f>IF(H546="Shipped",'Capacity &amp; Cost Dashboard'!D27+'Capacity &amp; Cost Dashboard'!D28*D546*INDEX('Capacity &amp; Cost Dashboard'!$C$31:$C$38,MATCH(INDEX(Products!$C$2:$C$31,MATCH(C546,Products!$A$2:$A$31,0)),'Capacity &amp; Cost Dashboard'!$B$31:$B$38,0)),0)</f>
        <v>9.08</v>
      </c>
    </row>
    <row r="547" spans="1:12" ht="18" x14ac:dyDescent="0.2">
      <c r="A547" s="17">
        <v>1137</v>
      </c>
      <c r="B547" s="17" t="s">
        <v>856</v>
      </c>
      <c r="C547" s="17" t="s">
        <v>152</v>
      </c>
      <c r="D547" s="17">
        <v>10</v>
      </c>
      <c r="E547" s="17" t="s">
        <v>596</v>
      </c>
      <c r="F547" s="17" t="s">
        <v>593</v>
      </c>
      <c r="G547" s="17" t="s">
        <v>184</v>
      </c>
      <c r="H547" s="17" t="s">
        <v>828</v>
      </c>
      <c r="I547" s="17">
        <v>4</v>
      </c>
      <c r="J547" s="18">
        <f t="shared" si="16"/>
        <v>0</v>
      </c>
      <c r="K547" s="18">
        <f t="shared" si="17"/>
        <v>11</v>
      </c>
      <c r="L547" s="20">
        <f>IF(H547="Shipped",'Capacity &amp; Cost Dashboard'!D27+'Capacity &amp; Cost Dashboard'!D28*D547*INDEX('Capacity &amp; Cost Dashboard'!$C$31:$C$38,MATCH(INDEX(Products!$C$2:$C$31,MATCH(C547,Products!$A$2:$A$31,0)),'Capacity &amp; Cost Dashboard'!$B$31:$B$38,0)),0)</f>
        <v>14.75</v>
      </c>
    </row>
    <row r="548" spans="1:12" ht="18" x14ac:dyDescent="0.2">
      <c r="A548" s="17">
        <v>1138</v>
      </c>
      <c r="B548" s="17" t="s">
        <v>841</v>
      </c>
      <c r="C548" s="17" t="s">
        <v>145</v>
      </c>
      <c r="D548" s="17">
        <v>16</v>
      </c>
      <c r="E548" s="17" t="s">
        <v>564</v>
      </c>
      <c r="F548" s="17" t="s">
        <v>618</v>
      </c>
      <c r="G548" s="17" t="s">
        <v>629</v>
      </c>
      <c r="H548" s="17" t="s">
        <v>828</v>
      </c>
      <c r="I548" s="17">
        <v>2</v>
      </c>
      <c r="J548" s="18">
        <f t="shared" si="16"/>
        <v>1</v>
      </c>
      <c r="K548" s="18">
        <f t="shared" si="17"/>
        <v>11</v>
      </c>
      <c r="L548" s="20">
        <f>IF(H548="Shipped",'Capacity &amp; Cost Dashboard'!D27+'Capacity &amp; Cost Dashboard'!D28*D548*INDEX('Capacity &amp; Cost Dashboard'!$C$31:$C$38,MATCH(INDEX(Products!$C$2:$C$31,MATCH(C548,Products!$A$2:$A$31,0)),'Capacity &amp; Cost Dashboard'!$B$31:$B$38,0)),0)</f>
        <v>10.16</v>
      </c>
    </row>
    <row r="549" spans="1:12" ht="18" x14ac:dyDescent="0.2">
      <c r="A549" s="17">
        <v>1139</v>
      </c>
      <c r="B549" s="17" t="s">
        <v>833</v>
      </c>
      <c r="C549" s="17" t="s">
        <v>100</v>
      </c>
      <c r="D549" s="17">
        <v>8</v>
      </c>
      <c r="E549" s="17" t="s">
        <v>576</v>
      </c>
      <c r="F549" s="17" t="s">
        <v>184</v>
      </c>
      <c r="G549" s="17" t="s">
        <v>184</v>
      </c>
      <c r="H549" s="17" t="s">
        <v>828</v>
      </c>
      <c r="I549" s="17">
        <v>4</v>
      </c>
      <c r="J549" s="18">
        <f t="shared" si="16"/>
        <v>0</v>
      </c>
      <c r="K549" s="18">
        <f t="shared" si="17"/>
        <v>11</v>
      </c>
      <c r="L549" s="20" t="e">
        <f>IF(H549="Shipped",'Capacity &amp; Cost Dashboard'!D27+'Capacity &amp; Cost Dashboard'!D28*D549*INDEX('Capacity &amp; Cost Dashboard'!$C$31:$C$38,MATCH(INDEX(Products!$C$2:$C$31,MATCH(C549,Products!$A$2:$A$31,0)),'Capacity &amp; Cost Dashboard'!$B$31:$B$38,0)),0)</f>
        <v>#N/A</v>
      </c>
    </row>
    <row r="550" spans="1:12" ht="18" x14ac:dyDescent="0.2">
      <c r="A550" s="17">
        <v>1140</v>
      </c>
      <c r="B550" s="17" t="s">
        <v>836</v>
      </c>
      <c r="C550" s="17" t="s">
        <v>107</v>
      </c>
      <c r="D550" s="17">
        <v>2</v>
      </c>
      <c r="E550" s="17" t="s">
        <v>576</v>
      </c>
      <c r="F550" s="17" t="s">
        <v>618</v>
      </c>
      <c r="G550" s="17" t="s">
        <v>601</v>
      </c>
      <c r="H550" s="17" t="s">
        <v>828</v>
      </c>
      <c r="I550" s="17">
        <v>5</v>
      </c>
      <c r="J550" s="18">
        <f t="shared" si="16"/>
        <v>0</v>
      </c>
      <c r="K550" s="18">
        <f t="shared" si="17"/>
        <v>11</v>
      </c>
      <c r="L550" s="20">
        <f>IF(H550="Shipped",'Capacity &amp; Cost Dashboard'!D27+'Capacity &amp; Cost Dashboard'!D28*D550*INDEX('Capacity &amp; Cost Dashboard'!$C$31:$C$38,MATCH(INDEX(Products!$C$2:$C$31,MATCH(C550,Products!$A$2:$A$31,0)),'Capacity &amp; Cost Dashboard'!$B$31:$B$38,0)),0)</f>
        <v>12.5</v>
      </c>
    </row>
    <row r="551" spans="1:12" ht="18" x14ac:dyDescent="0.2">
      <c r="A551" s="17">
        <v>1141</v>
      </c>
      <c r="B551" s="17" t="s">
        <v>833</v>
      </c>
      <c r="C551" s="17" t="s">
        <v>104</v>
      </c>
      <c r="D551" s="17">
        <v>8</v>
      </c>
      <c r="E551" s="17" t="s">
        <v>183</v>
      </c>
      <c r="F551" s="17" t="s">
        <v>601</v>
      </c>
      <c r="G551" s="17" t="s">
        <v>601</v>
      </c>
      <c r="H551" s="17" t="s">
        <v>828</v>
      </c>
      <c r="I551" s="17">
        <v>4</v>
      </c>
      <c r="J551" s="18">
        <f t="shared" si="16"/>
        <v>0</v>
      </c>
      <c r="K551" s="18">
        <f t="shared" si="17"/>
        <v>11</v>
      </c>
      <c r="L551" s="20">
        <f>IF(H551="Shipped",'Capacity &amp; Cost Dashboard'!D27+'Capacity &amp; Cost Dashboard'!D28*D551*INDEX('Capacity &amp; Cost Dashboard'!$C$31:$C$38,MATCH(INDEX(Products!$C$2:$C$31,MATCH(C551,Products!$A$2:$A$31,0)),'Capacity &amp; Cost Dashboard'!$B$31:$B$38,0)),0)</f>
        <v>26</v>
      </c>
    </row>
    <row r="552" spans="1:12" ht="18" x14ac:dyDescent="0.2">
      <c r="A552" s="17">
        <v>1142</v>
      </c>
      <c r="B552" s="17" t="s">
        <v>838</v>
      </c>
      <c r="C552" s="17" t="s">
        <v>149</v>
      </c>
      <c r="D552" s="17">
        <v>10</v>
      </c>
      <c r="E552" s="17" t="s">
        <v>635</v>
      </c>
      <c r="F552" s="17" t="s">
        <v>626</v>
      </c>
      <c r="G552" s="17" t="s">
        <v>629</v>
      </c>
      <c r="H552" s="17" t="s">
        <v>828</v>
      </c>
      <c r="I552" s="17">
        <v>4</v>
      </c>
      <c r="J552" s="18">
        <f t="shared" si="16"/>
        <v>0</v>
      </c>
      <c r="K552" s="18">
        <f t="shared" si="17"/>
        <v>12</v>
      </c>
      <c r="L552" s="20">
        <f>IF(H552="Shipped",'Capacity &amp; Cost Dashboard'!D27+'Capacity &amp; Cost Dashboard'!D28*D552*INDEX('Capacity &amp; Cost Dashboard'!$C$31:$C$38,MATCH(INDEX(Products!$C$2:$C$31,MATCH(C552,Products!$A$2:$A$31,0)),'Capacity &amp; Cost Dashboard'!$B$31:$B$38,0)),0)</f>
        <v>14.75</v>
      </c>
    </row>
    <row r="553" spans="1:12" ht="18" x14ac:dyDescent="0.2">
      <c r="A553" s="17">
        <v>1143</v>
      </c>
      <c r="B553" s="17" t="s">
        <v>835</v>
      </c>
      <c r="C553" s="17" t="s">
        <v>132</v>
      </c>
      <c r="D553" s="17">
        <v>2</v>
      </c>
      <c r="E553" s="17" t="s">
        <v>593</v>
      </c>
      <c r="F553" s="17" t="s">
        <v>625</v>
      </c>
      <c r="G553" s="17" t="s">
        <v>625</v>
      </c>
      <c r="H553" s="17" t="s">
        <v>828</v>
      </c>
      <c r="I553" s="17">
        <v>4</v>
      </c>
      <c r="J553" s="18">
        <f t="shared" si="16"/>
        <v>0</v>
      </c>
      <c r="K553" s="18">
        <f t="shared" si="17"/>
        <v>12</v>
      </c>
      <c r="L553" s="20">
        <f>IF(H553="Shipped",'Capacity &amp; Cost Dashboard'!D27+'Capacity &amp; Cost Dashboard'!D28*D553*INDEX('Capacity &amp; Cost Dashboard'!$C$31:$C$38,MATCH(INDEX(Products!$C$2:$C$31,MATCH(C553,Products!$A$2:$A$31,0)),'Capacity &amp; Cost Dashboard'!$B$31:$B$38,0)),0)</f>
        <v>9.8000000000000007</v>
      </c>
    </row>
    <row r="554" spans="1:12" ht="18" x14ac:dyDescent="0.2">
      <c r="A554" s="17">
        <v>1144</v>
      </c>
      <c r="B554" s="17" t="s">
        <v>849</v>
      </c>
      <c r="C554" s="17" t="s">
        <v>147</v>
      </c>
      <c r="D554" s="17">
        <v>40</v>
      </c>
      <c r="E554" s="17" t="s">
        <v>593</v>
      </c>
      <c r="F554" s="17" t="s">
        <v>625</v>
      </c>
      <c r="G554" s="17" t="s">
        <v>626</v>
      </c>
      <c r="H554" s="17" t="s">
        <v>828</v>
      </c>
      <c r="I554" s="17">
        <v>5</v>
      </c>
      <c r="J554" s="18">
        <f t="shared" si="16"/>
        <v>0</v>
      </c>
      <c r="K554" s="18">
        <f t="shared" si="17"/>
        <v>12</v>
      </c>
      <c r="L554" s="20">
        <f>IF(H554="Shipped",'Capacity &amp; Cost Dashboard'!D27+'Capacity &amp; Cost Dashboard'!D28*D554*INDEX('Capacity &amp; Cost Dashboard'!$C$31:$C$38,MATCH(INDEX(Products!$C$2:$C$31,MATCH(C554,Products!$A$2:$A$31,0)),'Capacity &amp; Cost Dashboard'!$B$31:$B$38,0)),0)</f>
        <v>13.399999999999999</v>
      </c>
    </row>
    <row r="555" spans="1:12" ht="18" x14ac:dyDescent="0.2">
      <c r="A555" s="17">
        <v>1145</v>
      </c>
      <c r="B555" s="17" t="s">
        <v>839</v>
      </c>
      <c r="C555" s="17" t="s">
        <v>143</v>
      </c>
      <c r="D555" s="17">
        <v>12</v>
      </c>
      <c r="E555" s="17" t="s">
        <v>593</v>
      </c>
      <c r="F555" s="17" t="s">
        <v>625</v>
      </c>
      <c r="G555" s="17" t="s">
        <v>625</v>
      </c>
      <c r="H555" s="17" t="s">
        <v>828</v>
      </c>
      <c r="I555" s="17">
        <v>4</v>
      </c>
      <c r="J555" s="18">
        <f t="shared" si="16"/>
        <v>0</v>
      </c>
      <c r="K555" s="18">
        <f t="shared" si="17"/>
        <v>12</v>
      </c>
      <c r="L555" s="20">
        <f>IF(H555="Shipped",'Capacity &amp; Cost Dashboard'!D27+'Capacity &amp; Cost Dashboard'!D28*D555*INDEX('Capacity &amp; Cost Dashboard'!$C$31:$C$38,MATCH(INDEX(Products!$C$2:$C$31,MATCH(C555,Products!$A$2:$A$31,0)),'Capacity &amp; Cost Dashboard'!$B$31:$B$38,0)),0)</f>
        <v>9.620000000000001</v>
      </c>
    </row>
    <row r="556" spans="1:12" ht="18" x14ac:dyDescent="0.2">
      <c r="A556" s="17">
        <v>1146</v>
      </c>
      <c r="B556" s="17" t="s">
        <v>850</v>
      </c>
      <c r="C556" s="17" t="s">
        <v>127</v>
      </c>
      <c r="D556" s="17">
        <v>3</v>
      </c>
      <c r="E556" s="17" t="s">
        <v>635</v>
      </c>
      <c r="F556" s="17" t="s">
        <v>625</v>
      </c>
      <c r="G556" s="17" t="s">
        <v>625</v>
      </c>
      <c r="H556" s="17" t="s">
        <v>828</v>
      </c>
      <c r="I556" s="17">
        <v>4</v>
      </c>
      <c r="J556" s="18">
        <f t="shared" si="16"/>
        <v>0</v>
      </c>
      <c r="K556" s="18">
        <f t="shared" si="17"/>
        <v>12</v>
      </c>
      <c r="L556" s="20">
        <f>IF(H556="Shipped",'Capacity &amp; Cost Dashboard'!D27+'Capacity &amp; Cost Dashboard'!D28*D556*INDEX('Capacity &amp; Cost Dashboard'!$C$31:$C$38,MATCH(INDEX(Products!$C$2:$C$31,MATCH(C556,Products!$A$2:$A$31,0)),'Capacity &amp; Cost Dashboard'!$B$31:$B$38,0)),0)</f>
        <v>10.7</v>
      </c>
    </row>
    <row r="557" spans="1:12" ht="18" x14ac:dyDescent="0.2">
      <c r="A557" s="17">
        <v>1147</v>
      </c>
      <c r="B557" s="17" t="s">
        <v>836</v>
      </c>
      <c r="C557" s="17" t="s">
        <v>100</v>
      </c>
      <c r="D557" s="17">
        <v>22</v>
      </c>
      <c r="E557" s="17" t="s">
        <v>632</v>
      </c>
      <c r="F557" s="17" t="s">
        <v>858</v>
      </c>
      <c r="G557" s="17" t="s">
        <v>661</v>
      </c>
      <c r="H557" s="17" t="s">
        <v>828</v>
      </c>
      <c r="I557" s="17">
        <v>3</v>
      </c>
      <c r="J557" s="18">
        <f t="shared" si="16"/>
        <v>1</v>
      </c>
      <c r="K557" s="18">
        <f t="shared" si="17"/>
        <v>12</v>
      </c>
      <c r="L557" s="20" t="e">
        <f>IF(H557="Shipped",'Capacity &amp; Cost Dashboard'!D27+'Capacity &amp; Cost Dashboard'!D28*D557*INDEX('Capacity &amp; Cost Dashboard'!$C$31:$C$38,MATCH(INDEX(Products!$C$2:$C$31,MATCH(C557,Products!$A$2:$A$31,0)),'Capacity &amp; Cost Dashboard'!$B$31:$B$38,0)),0)</f>
        <v>#N/A</v>
      </c>
    </row>
    <row r="558" spans="1:12" ht="18" x14ac:dyDescent="0.2">
      <c r="A558" s="17">
        <v>1148</v>
      </c>
      <c r="B558" s="17" t="s">
        <v>826</v>
      </c>
      <c r="C558" s="17" t="s">
        <v>95</v>
      </c>
      <c r="D558" s="17">
        <v>11</v>
      </c>
      <c r="E558" s="17" t="s">
        <v>635</v>
      </c>
      <c r="F558" s="17" t="s">
        <v>626</v>
      </c>
      <c r="G558" s="17" t="s">
        <v>626</v>
      </c>
      <c r="H558" s="17" t="s">
        <v>828</v>
      </c>
      <c r="I558" s="17">
        <v>4</v>
      </c>
      <c r="J558" s="18">
        <f t="shared" si="16"/>
        <v>0</v>
      </c>
      <c r="K558" s="18">
        <f t="shared" si="17"/>
        <v>12</v>
      </c>
      <c r="L558" s="20" t="e">
        <f>IF(H558="Shipped",'Capacity &amp; Cost Dashboard'!D27+'Capacity &amp; Cost Dashboard'!D28*D558*INDEX('Capacity &amp; Cost Dashboard'!$C$31:$C$38,MATCH(INDEX(Products!$C$2:$C$31,MATCH(C558,Products!$A$2:$A$31,0)),'Capacity &amp; Cost Dashboard'!$B$31:$B$38,0)),0)</f>
        <v>#N/A</v>
      </c>
    </row>
    <row r="559" spans="1:12" ht="18" x14ac:dyDescent="0.2">
      <c r="A559" s="17">
        <v>1149</v>
      </c>
      <c r="B559" s="17" t="s">
        <v>834</v>
      </c>
      <c r="C559" s="17" t="s">
        <v>104</v>
      </c>
      <c r="D559" s="17">
        <v>3</v>
      </c>
      <c r="E559" s="17" t="s">
        <v>593</v>
      </c>
      <c r="F559" s="17" t="s">
        <v>625</v>
      </c>
      <c r="G559" s="17" t="s">
        <v>664</v>
      </c>
      <c r="H559" s="17" t="s">
        <v>828</v>
      </c>
      <c r="I559" s="17">
        <v>4</v>
      </c>
      <c r="J559" s="18">
        <f t="shared" si="16"/>
        <v>1</v>
      </c>
      <c r="K559" s="18">
        <f t="shared" si="17"/>
        <v>12</v>
      </c>
      <c r="L559" s="20">
        <f>IF(H559="Shipped",'Capacity &amp; Cost Dashboard'!D27+'Capacity &amp; Cost Dashboard'!D28*D559*INDEX('Capacity &amp; Cost Dashboard'!$C$31:$C$38,MATCH(INDEX(Products!$C$2:$C$31,MATCH(C559,Products!$A$2:$A$31,0)),'Capacity &amp; Cost Dashboard'!$B$31:$B$38,0)),0)</f>
        <v>14.75</v>
      </c>
    </row>
    <row r="560" spans="1:12" ht="18" x14ac:dyDescent="0.2">
      <c r="A560" s="17">
        <v>1150</v>
      </c>
      <c r="B560" s="17" t="s">
        <v>846</v>
      </c>
      <c r="C560" s="17" t="s">
        <v>102</v>
      </c>
      <c r="D560" s="17">
        <v>20</v>
      </c>
      <c r="E560" s="17" t="s">
        <v>184</v>
      </c>
      <c r="F560" s="17" t="s">
        <v>626</v>
      </c>
      <c r="G560" s="17" t="s">
        <v>858</v>
      </c>
      <c r="H560" s="17" t="s">
        <v>828</v>
      </c>
      <c r="I560" s="17">
        <v>2</v>
      </c>
      <c r="J560" s="18">
        <f t="shared" si="16"/>
        <v>1</v>
      </c>
      <c r="K560" s="18">
        <f t="shared" si="17"/>
        <v>12</v>
      </c>
      <c r="L560" s="20" t="e">
        <f>IF(H560="Shipped",'Capacity &amp; Cost Dashboard'!D27+'Capacity &amp; Cost Dashboard'!D28*D560*INDEX('Capacity &amp; Cost Dashboard'!$C$31:$C$38,MATCH(INDEX(Products!$C$2:$C$31,MATCH(C560,Products!$A$2:$A$31,0)),'Capacity &amp; Cost Dashboard'!$B$31:$B$38,0)),0)</f>
        <v>#N/A</v>
      </c>
    </row>
    <row r="561" spans="1:12" ht="18" x14ac:dyDescent="0.2">
      <c r="A561" s="17">
        <v>1151</v>
      </c>
      <c r="B561" s="17" t="s">
        <v>842</v>
      </c>
      <c r="C561" s="17" t="s">
        <v>118</v>
      </c>
      <c r="D561" s="17">
        <v>2</v>
      </c>
      <c r="E561" s="17" t="s">
        <v>184</v>
      </c>
      <c r="F561" s="17" t="s">
        <v>629</v>
      </c>
      <c r="G561" s="17" t="s">
        <v>629</v>
      </c>
      <c r="H561" s="17" t="s">
        <v>828</v>
      </c>
      <c r="I561" s="17">
        <v>5</v>
      </c>
      <c r="J561" s="18">
        <f t="shared" si="16"/>
        <v>0</v>
      </c>
      <c r="K561" s="18">
        <f t="shared" si="17"/>
        <v>12</v>
      </c>
      <c r="L561" s="20">
        <f>IF(H561="Shipped",'Capacity &amp; Cost Dashboard'!D27+'Capacity &amp; Cost Dashboard'!D28*D561*INDEX('Capacity &amp; Cost Dashboard'!$C$31:$C$38,MATCH(INDEX(Products!$C$2:$C$31,MATCH(C561,Products!$A$2:$A$31,0)),'Capacity &amp; Cost Dashboard'!$B$31:$B$38,0)),0)</f>
        <v>9.8000000000000007</v>
      </c>
    </row>
    <row r="562" spans="1:12" ht="18" x14ac:dyDescent="0.2">
      <c r="A562" s="17">
        <v>1152</v>
      </c>
      <c r="B562" s="17" t="s">
        <v>844</v>
      </c>
      <c r="C562" s="17" t="s">
        <v>147</v>
      </c>
      <c r="D562" s="17">
        <v>8</v>
      </c>
      <c r="E562" s="17" t="s">
        <v>629</v>
      </c>
      <c r="F562" s="17" t="s">
        <v>656</v>
      </c>
      <c r="G562" s="17"/>
      <c r="H562" s="17" t="s">
        <v>859</v>
      </c>
      <c r="I562" s="17"/>
      <c r="J562" s="18" t="str">
        <f t="shared" si="16"/>
        <v/>
      </c>
      <c r="K562" s="18">
        <f t="shared" si="17"/>
        <v>12</v>
      </c>
      <c r="L562" s="20">
        <f>IF(H562="Shipped",'Capacity &amp; Cost Dashboard'!D27+'Capacity &amp; Cost Dashboard'!D28*D562*INDEX('Capacity &amp; Cost Dashboard'!$C$31:$C$38,MATCH(INDEX(Products!$C$2:$C$31,MATCH(C562,Products!$A$2:$A$31,0)),'Capacity &amp; Cost Dashboard'!$B$31:$B$38,0)),0)</f>
        <v>0</v>
      </c>
    </row>
    <row r="563" spans="1:12" ht="18" x14ac:dyDescent="0.2">
      <c r="A563" s="17">
        <v>1153</v>
      </c>
      <c r="B563" s="17" t="s">
        <v>857</v>
      </c>
      <c r="C563" s="17" t="s">
        <v>134</v>
      </c>
      <c r="D563" s="17">
        <v>8</v>
      </c>
      <c r="E563" s="17" t="s">
        <v>629</v>
      </c>
      <c r="F563" s="17" t="s">
        <v>664</v>
      </c>
      <c r="G563" s="17"/>
      <c r="H563" s="17" t="s">
        <v>859</v>
      </c>
      <c r="I563" s="17"/>
      <c r="J563" s="18" t="str">
        <f t="shared" si="16"/>
        <v/>
      </c>
      <c r="K563" s="18">
        <f t="shared" si="17"/>
        <v>12</v>
      </c>
      <c r="L563" s="20">
        <f>IF(H563="Shipped",'Capacity &amp; Cost Dashboard'!D27+'Capacity &amp; Cost Dashboard'!D28*D563*INDEX('Capacity &amp; Cost Dashboard'!$C$31:$C$38,MATCH(INDEX(Products!$C$2:$C$31,MATCH(C563,Products!$A$2:$A$31,0)),'Capacity &amp; Cost Dashboard'!$B$31:$B$38,0)),0)</f>
        <v>0</v>
      </c>
    </row>
    <row r="564" spans="1:12" ht="18" x14ac:dyDescent="0.2">
      <c r="A564" s="17">
        <v>1154</v>
      </c>
      <c r="B564" s="17" t="s">
        <v>836</v>
      </c>
      <c r="C564" s="17" t="s">
        <v>125</v>
      </c>
      <c r="D564" s="17">
        <v>7</v>
      </c>
      <c r="E564" s="17" t="s">
        <v>635</v>
      </c>
      <c r="F564" s="17" t="s">
        <v>656</v>
      </c>
      <c r="G564" s="17" t="s">
        <v>625</v>
      </c>
      <c r="H564" s="17" t="s">
        <v>828</v>
      </c>
      <c r="I564" s="17">
        <v>5</v>
      </c>
      <c r="J564" s="18">
        <f t="shared" si="16"/>
        <v>0</v>
      </c>
      <c r="K564" s="18">
        <f t="shared" si="17"/>
        <v>12</v>
      </c>
      <c r="L564" s="20">
        <f>IF(H564="Shipped",'Capacity &amp; Cost Dashboard'!D27+'Capacity &amp; Cost Dashboard'!D28*D564*INDEX('Capacity &amp; Cost Dashboard'!$C$31:$C$38,MATCH(INDEX(Products!$C$2:$C$31,MATCH(C564,Products!$A$2:$A$31,0)),'Capacity &amp; Cost Dashboard'!$B$31:$B$38,0)),0)</f>
        <v>11.15</v>
      </c>
    </row>
    <row r="565" spans="1:12" ht="18" x14ac:dyDescent="0.2">
      <c r="A565" s="17">
        <v>1155</v>
      </c>
      <c r="B565" s="17" t="s">
        <v>833</v>
      </c>
      <c r="C565" s="17" t="s">
        <v>95</v>
      </c>
      <c r="D565" s="17">
        <v>2</v>
      </c>
      <c r="E565" s="17" t="s">
        <v>593</v>
      </c>
      <c r="F565" s="17" t="s">
        <v>625</v>
      </c>
      <c r="G565" s="17" t="s">
        <v>664</v>
      </c>
      <c r="H565" s="17" t="s">
        <v>828</v>
      </c>
      <c r="I565" s="17">
        <v>4</v>
      </c>
      <c r="J565" s="18">
        <f t="shared" si="16"/>
        <v>1</v>
      </c>
      <c r="K565" s="18">
        <f t="shared" si="17"/>
        <v>12</v>
      </c>
      <c r="L565" s="20" t="e">
        <f>IF(H565="Shipped",'Capacity &amp; Cost Dashboard'!D27+'Capacity &amp; Cost Dashboard'!D28*D565*INDEX('Capacity &amp; Cost Dashboard'!$C$31:$C$38,MATCH(INDEX(Products!$C$2:$C$31,MATCH(C565,Products!$A$2:$A$31,0)),'Capacity &amp; Cost Dashboard'!$B$31:$B$38,0)),0)</f>
        <v>#N/A</v>
      </c>
    </row>
    <row r="566" spans="1:12" ht="18" x14ac:dyDescent="0.2">
      <c r="A566" s="17">
        <v>1156</v>
      </c>
      <c r="B566" s="17" t="s">
        <v>845</v>
      </c>
      <c r="C566" s="17" t="s">
        <v>139</v>
      </c>
      <c r="D566" s="17">
        <v>1</v>
      </c>
      <c r="E566" s="17" t="s">
        <v>635</v>
      </c>
      <c r="F566" s="17" t="s">
        <v>626</v>
      </c>
      <c r="G566" s="17" t="s">
        <v>629</v>
      </c>
      <c r="H566" s="17" t="s">
        <v>828</v>
      </c>
      <c r="I566" s="17">
        <v>4</v>
      </c>
      <c r="J566" s="18">
        <f t="shared" si="16"/>
        <v>0</v>
      </c>
      <c r="K566" s="18">
        <f t="shared" si="17"/>
        <v>12</v>
      </c>
      <c r="L566" s="20">
        <f>IF(H566="Shipped",'Capacity &amp; Cost Dashboard'!D27+'Capacity &amp; Cost Dashboard'!D28*D566*INDEX('Capacity &amp; Cost Dashboard'!$C$31:$C$38,MATCH(INDEX(Products!$C$2:$C$31,MATCH(C566,Products!$A$2:$A$31,0)),'Capacity &amp; Cost Dashboard'!$B$31:$B$38,0)),0)</f>
        <v>8.1349999999999998</v>
      </c>
    </row>
    <row r="567" spans="1:12" ht="18" x14ac:dyDescent="0.2">
      <c r="A567" s="17">
        <v>1157</v>
      </c>
      <c r="B567" s="17" t="s">
        <v>847</v>
      </c>
      <c r="C567" s="17" t="s">
        <v>132</v>
      </c>
      <c r="D567" s="17">
        <v>4</v>
      </c>
      <c r="E567" s="17" t="s">
        <v>629</v>
      </c>
      <c r="F567" s="17" t="s">
        <v>664</v>
      </c>
      <c r="G567" s="17"/>
      <c r="H567" s="17" t="s">
        <v>859</v>
      </c>
      <c r="I567" s="17"/>
      <c r="J567" s="18" t="str">
        <f t="shared" si="16"/>
        <v/>
      </c>
      <c r="K567" s="18">
        <f t="shared" si="17"/>
        <v>12</v>
      </c>
      <c r="L567" s="20">
        <f>IF(H567="Shipped",'Capacity &amp; Cost Dashboard'!D27+'Capacity &amp; Cost Dashboard'!D28*D567*INDEX('Capacity &amp; Cost Dashboard'!$C$31:$C$38,MATCH(INDEX(Products!$C$2:$C$31,MATCH(C567,Products!$A$2:$A$31,0)),'Capacity &amp; Cost Dashboard'!$B$31:$B$38,0)),0)</f>
        <v>0</v>
      </c>
    </row>
    <row r="568" spans="1:12" ht="18" x14ac:dyDescent="0.2">
      <c r="A568" s="17">
        <v>1158</v>
      </c>
      <c r="B568" s="17" t="s">
        <v>829</v>
      </c>
      <c r="C568" s="17" t="s">
        <v>109</v>
      </c>
      <c r="D568" s="17">
        <v>3</v>
      </c>
      <c r="E568" s="17" t="s">
        <v>184</v>
      </c>
      <c r="F568" s="17" t="s">
        <v>626</v>
      </c>
      <c r="G568" s="17" t="s">
        <v>686</v>
      </c>
      <c r="H568" s="17" t="s">
        <v>828</v>
      </c>
      <c r="I568" s="17">
        <v>3</v>
      </c>
      <c r="J568" s="18">
        <f t="shared" si="16"/>
        <v>1</v>
      </c>
      <c r="K568" s="18">
        <f t="shared" si="17"/>
        <v>12</v>
      </c>
      <c r="L568" s="20">
        <f>IF(H568="Shipped",'Capacity &amp; Cost Dashboard'!D27+'Capacity &amp; Cost Dashboard'!D28*D568*INDEX('Capacity &amp; Cost Dashboard'!$C$31:$C$38,MATCH(INDEX(Products!$C$2:$C$31,MATCH(C568,Products!$A$2:$A$31,0)),'Capacity &amp; Cost Dashboard'!$B$31:$B$38,0)),0)</f>
        <v>14.75</v>
      </c>
    </row>
    <row r="569" spans="1:12" ht="18" x14ac:dyDescent="0.2">
      <c r="A569" s="17">
        <v>1159</v>
      </c>
      <c r="B569" s="17" t="s">
        <v>853</v>
      </c>
      <c r="C569" s="17" t="s">
        <v>95</v>
      </c>
      <c r="D569" s="17">
        <v>34</v>
      </c>
      <c r="E569" s="17" t="s">
        <v>629</v>
      </c>
      <c r="F569" s="17" t="s">
        <v>664</v>
      </c>
      <c r="G569" s="17"/>
      <c r="H569" s="17" t="s">
        <v>859</v>
      </c>
      <c r="I569" s="17"/>
      <c r="J569" s="18" t="str">
        <f t="shared" si="16"/>
        <v/>
      </c>
      <c r="K569" s="18">
        <f t="shared" si="17"/>
        <v>12</v>
      </c>
      <c r="L569" s="20">
        <f>IF(H569="Shipped",'Capacity &amp; Cost Dashboard'!D27+'Capacity &amp; Cost Dashboard'!D28*D569*INDEX('Capacity &amp; Cost Dashboard'!$C$31:$C$38,MATCH(INDEX(Products!$C$2:$C$31,MATCH(C569,Products!$A$2:$A$31,0)),'Capacity &amp; Cost Dashboard'!$B$31:$B$38,0)),0)</f>
        <v>0</v>
      </c>
    </row>
    <row r="570" spans="1:12" ht="18" x14ac:dyDescent="0.2">
      <c r="A570" s="17">
        <v>1160</v>
      </c>
      <c r="B570" s="17" t="s">
        <v>853</v>
      </c>
      <c r="C570" s="17" t="s">
        <v>130</v>
      </c>
      <c r="D570" s="17">
        <v>5</v>
      </c>
      <c r="E570" s="17" t="s">
        <v>629</v>
      </c>
      <c r="F570" s="17" t="s">
        <v>664</v>
      </c>
      <c r="G570" s="17"/>
      <c r="H570" s="17" t="s">
        <v>859</v>
      </c>
      <c r="I570" s="17"/>
      <c r="J570" s="18" t="str">
        <f t="shared" si="16"/>
        <v/>
      </c>
      <c r="K570" s="18">
        <f t="shared" si="17"/>
        <v>12</v>
      </c>
      <c r="L570" s="20">
        <f>IF(H570="Shipped",'Capacity &amp; Cost Dashboard'!D27+'Capacity &amp; Cost Dashboard'!D28*D570*INDEX('Capacity &amp; Cost Dashboard'!$C$31:$C$38,MATCH(INDEX(Products!$C$2:$C$31,MATCH(C570,Products!$A$2:$A$31,0)),'Capacity &amp; Cost Dashboard'!$B$31:$B$38,0)),0)</f>
        <v>0</v>
      </c>
    </row>
    <row r="571" spans="1:12" ht="18" x14ac:dyDescent="0.2">
      <c r="A571" s="17">
        <v>1161</v>
      </c>
      <c r="B571" s="17" t="s">
        <v>836</v>
      </c>
      <c r="C571" s="17" t="s">
        <v>118</v>
      </c>
      <c r="D571" s="17">
        <v>11</v>
      </c>
      <c r="E571" s="17" t="s">
        <v>593</v>
      </c>
      <c r="F571" s="17" t="s">
        <v>625</v>
      </c>
      <c r="G571" s="17" t="s">
        <v>625</v>
      </c>
      <c r="H571" s="17" t="s">
        <v>828</v>
      </c>
      <c r="I571" s="17">
        <v>5</v>
      </c>
      <c r="J571" s="18">
        <f t="shared" si="16"/>
        <v>0</v>
      </c>
      <c r="K571" s="18">
        <f t="shared" si="17"/>
        <v>12</v>
      </c>
      <c r="L571" s="20">
        <f>IF(H571="Shipped",'Capacity &amp; Cost Dashboard'!D27+'Capacity &amp; Cost Dashboard'!D28*D571*INDEX('Capacity &amp; Cost Dashboard'!$C$31:$C$38,MATCH(INDEX(Products!$C$2:$C$31,MATCH(C571,Products!$A$2:$A$31,0)),'Capacity &amp; Cost Dashboard'!$B$31:$B$38,0)),0)</f>
        <v>17.899999999999999</v>
      </c>
    </row>
    <row r="572" spans="1:12" ht="18" x14ac:dyDescent="0.2">
      <c r="A572" s="17">
        <v>1162</v>
      </c>
      <c r="B572" s="17" t="s">
        <v>847</v>
      </c>
      <c r="C572" s="17" t="s">
        <v>113</v>
      </c>
      <c r="D572" s="17">
        <v>6</v>
      </c>
      <c r="E572" s="17" t="s">
        <v>593</v>
      </c>
      <c r="F572" s="17" t="s">
        <v>625</v>
      </c>
      <c r="G572" s="17" t="s">
        <v>625</v>
      </c>
      <c r="H572" s="17" t="s">
        <v>828</v>
      </c>
      <c r="I572" s="17">
        <v>5</v>
      </c>
      <c r="J572" s="18">
        <f t="shared" si="16"/>
        <v>0</v>
      </c>
      <c r="K572" s="18">
        <f t="shared" si="17"/>
        <v>12</v>
      </c>
      <c r="L572" s="20">
        <f>IF(H572="Shipped",'Capacity &amp; Cost Dashboard'!D27+'Capacity &amp; Cost Dashboard'!D28*D572*INDEX('Capacity &amp; Cost Dashboard'!$C$31:$C$38,MATCH(INDEX(Products!$C$2:$C$31,MATCH(C572,Products!$A$2:$A$31,0)),'Capacity &amp; Cost Dashboard'!$B$31:$B$38,0)),0)</f>
        <v>13.4</v>
      </c>
    </row>
    <row r="573" spans="1:12" ht="18" x14ac:dyDescent="0.2">
      <c r="A573" s="17">
        <v>1163</v>
      </c>
      <c r="B573" s="17" t="s">
        <v>843</v>
      </c>
      <c r="C573" s="17" t="s">
        <v>143</v>
      </c>
      <c r="D573" s="17">
        <v>14</v>
      </c>
      <c r="E573" s="17" t="s">
        <v>593</v>
      </c>
      <c r="F573" s="17" t="s">
        <v>626</v>
      </c>
      <c r="G573" s="17" t="s">
        <v>858</v>
      </c>
      <c r="H573" s="17" t="s">
        <v>828</v>
      </c>
      <c r="I573" s="17">
        <v>3</v>
      </c>
      <c r="J573" s="18">
        <f t="shared" si="16"/>
        <v>1</v>
      </c>
      <c r="K573" s="18">
        <f t="shared" si="17"/>
        <v>12</v>
      </c>
      <c r="L573" s="20">
        <f>IF(H573="Shipped",'Capacity &amp; Cost Dashboard'!D27+'Capacity &amp; Cost Dashboard'!D28*D573*INDEX('Capacity &amp; Cost Dashboard'!$C$31:$C$38,MATCH(INDEX(Products!$C$2:$C$31,MATCH(C573,Products!$A$2:$A$31,0)),'Capacity &amp; Cost Dashboard'!$B$31:$B$38,0)),0)</f>
        <v>9.89</v>
      </c>
    </row>
    <row r="574" spans="1:12" ht="18" x14ac:dyDescent="0.2">
      <c r="A574" s="17">
        <v>1164</v>
      </c>
      <c r="B574" s="17" t="s">
        <v>851</v>
      </c>
      <c r="C574" s="17" t="s">
        <v>111</v>
      </c>
      <c r="D574" s="17">
        <v>1</v>
      </c>
      <c r="E574" s="17" t="s">
        <v>632</v>
      </c>
      <c r="F574" s="17" t="s">
        <v>858</v>
      </c>
      <c r="G574" s="17" t="s">
        <v>675</v>
      </c>
      <c r="H574" s="17" t="s">
        <v>828</v>
      </c>
      <c r="I574" s="17">
        <v>2</v>
      </c>
      <c r="J574" s="18">
        <f t="shared" si="16"/>
        <v>1</v>
      </c>
      <c r="K574" s="18">
        <f t="shared" si="17"/>
        <v>12</v>
      </c>
      <c r="L574" s="20">
        <f>IF(H574="Shipped",'Capacity &amp; Cost Dashboard'!D27+'Capacity &amp; Cost Dashboard'!D28*D574*INDEX('Capacity &amp; Cost Dashboard'!$C$31:$C$38,MATCH(INDEX(Products!$C$2:$C$31,MATCH(C574,Products!$A$2:$A$31,0)),'Capacity &amp; Cost Dashboard'!$B$31:$B$38,0)),0)</f>
        <v>10.25</v>
      </c>
    </row>
    <row r="575" spans="1:12" ht="18" x14ac:dyDescent="0.2">
      <c r="A575" s="17">
        <v>1165</v>
      </c>
      <c r="B575" s="17" t="s">
        <v>857</v>
      </c>
      <c r="C575" s="17" t="s">
        <v>120</v>
      </c>
      <c r="D575" s="17">
        <v>8</v>
      </c>
      <c r="E575" s="17" t="s">
        <v>593</v>
      </c>
      <c r="F575" s="17" t="s">
        <v>625</v>
      </c>
      <c r="G575" s="17" t="s">
        <v>626</v>
      </c>
      <c r="H575" s="17" t="s">
        <v>828</v>
      </c>
      <c r="I575" s="17">
        <v>5</v>
      </c>
      <c r="J575" s="18">
        <f t="shared" si="16"/>
        <v>0</v>
      </c>
      <c r="K575" s="18">
        <f t="shared" si="17"/>
        <v>12</v>
      </c>
      <c r="L575" s="20">
        <f>IF(H575="Shipped",'Capacity &amp; Cost Dashboard'!D27+'Capacity &amp; Cost Dashboard'!D28*D575*INDEX('Capacity &amp; Cost Dashboard'!$C$31:$C$38,MATCH(INDEX(Products!$C$2:$C$31,MATCH(C575,Products!$A$2:$A$31,0)),'Capacity &amp; Cost Dashboard'!$B$31:$B$38,0)),0)</f>
        <v>11.6</v>
      </c>
    </row>
    <row r="576" spans="1:12" ht="18" x14ac:dyDescent="0.2">
      <c r="A576" s="17">
        <v>1166</v>
      </c>
      <c r="B576" s="17" t="s">
        <v>842</v>
      </c>
      <c r="C576" s="17" t="s">
        <v>132</v>
      </c>
      <c r="D576" s="17">
        <v>10</v>
      </c>
      <c r="E576" s="17" t="s">
        <v>635</v>
      </c>
      <c r="F576" s="17" t="s">
        <v>656</v>
      </c>
      <c r="G576" s="17" t="s">
        <v>656</v>
      </c>
      <c r="H576" s="17" t="s">
        <v>828</v>
      </c>
      <c r="I576" s="17">
        <v>4</v>
      </c>
      <c r="J576" s="18">
        <f t="shared" si="16"/>
        <v>0</v>
      </c>
      <c r="K576" s="18">
        <f t="shared" si="17"/>
        <v>12</v>
      </c>
      <c r="L576" s="20">
        <f>IF(H576="Shipped",'Capacity &amp; Cost Dashboard'!D27+'Capacity &amp; Cost Dashboard'!D28*D576*INDEX('Capacity &amp; Cost Dashboard'!$C$31:$C$38,MATCH(INDEX(Products!$C$2:$C$31,MATCH(C576,Products!$A$2:$A$31,0)),'Capacity &amp; Cost Dashboard'!$B$31:$B$38,0)),0)</f>
        <v>17</v>
      </c>
    </row>
    <row r="577" spans="1:12" ht="18" x14ac:dyDescent="0.2">
      <c r="A577" s="17">
        <v>1167</v>
      </c>
      <c r="B577" s="17" t="s">
        <v>844</v>
      </c>
      <c r="C577" s="17" t="s">
        <v>149</v>
      </c>
      <c r="D577" s="17">
        <v>10</v>
      </c>
      <c r="E577" s="17" t="s">
        <v>635</v>
      </c>
      <c r="F577" s="17" t="s">
        <v>656</v>
      </c>
      <c r="G577" s="17" t="s">
        <v>656</v>
      </c>
      <c r="H577" s="17" t="s">
        <v>828</v>
      </c>
      <c r="I577" s="17">
        <v>5</v>
      </c>
      <c r="J577" s="18">
        <f t="shared" si="16"/>
        <v>0</v>
      </c>
      <c r="K577" s="18">
        <f t="shared" si="17"/>
        <v>12</v>
      </c>
      <c r="L577" s="20">
        <f>IF(H577="Shipped",'Capacity &amp; Cost Dashboard'!D27+'Capacity &amp; Cost Dashboard'!D28*D577*INDEX('Capacity &amp; Cost Dashboard'!$C$31:$C$38,MATCH(INDEX(Products!$C$2:$C$31,MATCH(C577,Products!$A$2:$A$31,0)),'Capacity &amp; Cost Dashboard'!$B$31:$B$38,0)),0)</f>
        <v>14.75</v>
      </c>
    </row>
    <row r="578" spans="1:12" ht="18" x14ac:dyDescent="0.2">
      <c r="A578" s="17">
        <v>1168</v>
      </c>
      <c r="B578" s="17" t="s">
        <v>838</v>
      </c>
      <c r="C578" s="17" t="s">
        <v>130</v>
      </c>
      <c r="D578" s="17">
        <v>3</v>
      </c>
      <c r="E578" s="17" t="s">
        <v>593</v>
      </c>
      <c r="F578" s="17" t="s">
        <v>629</v>
      </c>
      <c r="G578" s="17" t="s">
        <v>629</v>
      </c>
      <c r="H578" s="17" t="s">
        <v>828</v>
      </c>
      <c r="I578" s="17">
        <v>4</v>
      </c>
      <c r="J578" s="18">
        <f t="shared" ref="J578:J598" si="18">IF(H578="Shipped",IF(G578&gt;F578,1,0),"")</f>
        <v>0</v>
      </c>
      <c r="K578" s="18">
        <f t="shared" ref="K578:K598" si="19">INT((DATEVALUE(E578)-DATE(2026,4,6))/7)</f>
        <v>12</v>
      </c>
      <c r="L578" s="20">
        <f>IF(H578="Shipped",'Capacity &amp; Cost Dashboard'!D27+'Capacity &amp; Cost Dashboard'!D28*D578*INDEX('Capacity &amp; Cost Dashboard'!$C$31:$C$38,MATCH(INDEX(Products!$C$2:$C$31,MATCH(C578,Products!$A$2:$A$31,0)),'Capacity &amp; Cost Dashboard'!$B$31:$B$38,0)),0)</f>
        <v>10.7</v>
      </c>
    </row>
    <row r="579" spans="1:12" ht="18" x14ac:dyDescent="0.2">
      <c r="A579" s="17">
        <v>1169</v>
      </c>
      <c r="B579" s="17" t="s">
        <v>855</v>
      </c>
      <c r="C579" s="17" t="s">
        <v>161</v>
      </c>
      <c r="D579" s="17">
        <v>6</v>
      </c>
      <c r="E579" s="17" t="s">
        <v>632</v>
      </c>
      <c r="F579" s="17" t="s">
        <v>858</v>
      </c>
      <c r="G579" s="17" t="s">
        <v>858</v>
      </c>
      <c r="H579" s="17" t="s">
        <v>828</v>
      </c>
      <c r="I579" s="17">
        <v>5</v>
      </c>
      <c r="J579" s="18">
        <f t="shared" si="18"/>
        <v>0</v>
      </c>
      <c r="K579" s="18">
        <f t="shared" si="19"/>
        <v>12</v>
      </c>
      <c r="L579" s="20">
        <f>IF(H579="Shipped",'Capacity &amp; Cost Dashboard'!D27+'Capacity &amp; Cost Dashboard'!D28*D579*INDEX('Capacity &amp; Cost Dashboard'!$C$31:$C$38,MATCH(INDEX(Products!$C$2:$C$31,MATCH(C579,Products!$A$2:$A$31,0)),'Capacity &amp; Cost Dashboard'!$B$31:$B$38,0)),0)</f>
        <v>16.100000000000001</v>
      </c>
    </row>
    <row r="580" spans="1:12" ht="18" x14ac:dyDescent="0.2">
      <c r="A580" s="17">
        <v>1170</v>
      </c>
      <c r="B580" s="17" t="s">
        <v>855</v>
      </c>
      <c r="C580" s="17" t="s">
        <v>98</v>
      </c>
      <c r="D580" s="17">
        <v>15</v>
      </c>
      <c r="E580" s="17" t="s">
        <v>593</v>
      </c>
      <c r="F580" s="17" t="s">
        <v>626</v>
      </c>
      <c r="G580" s="17" t="s">
        <v>629</v>
      </c>
      <c r="H580" s="17" t="s">
        <v>828</v>
      </c>
      <c r="I580" s="17">
        <v>4</v>
      </c>
      <c r="J580" s="18">
        <f t="shared" si="18"/>
        <v>0</v>
      </c>
      <c r="K580" s="18">
        <f t="shared" si="19"/>
        <v>12</v>
      </c>
      <c r="L580" s="20" t="e">
        <f>IF(H580="Shipped",'Capacity &amp; Cost Dashboard'!D27+'Capacity &amp; Cost Dashboard'!D28*D580*INDEX('Capacity &amp; Cost Dashboard'!$C$31:$C$38,MATCH(INDEX(Products!$C$2:$C$31,MATCH(C580,Products!$A$2:$A$31,0)),'Capacity &amp; Cost Dashboard'!$B$31:$B$38,0)),0)</f>
        <v>#N/A</v>
      </c>
    </row>
    <row r="581" spans="1:12" ht="18" x14ac:dyDescent="0.2">
      <c r="A581" s="17">
        <v>1171</v>
      </c>
      <c r="B581" s="17" t="s">
        <v>833</v>
      </c>
      <c r="C581" s="17" t="s">
        <v>116</v>
      </c>
      <c r="D581" s="17">
        <v>4</v>
      </c>
      <c r="E581" s="17" t="s">
        <v>632</v>
      </c>
      <c r="F581" s="17" t="s">
        <v>656</v>
      </c>
      <c r="G581" s="17" t="s">
        <v>656</v>
      </c>
      <c r="H581" s="17" t="s">
        <v>828</v>
      </c>
      <c r="I581" s="17">
        <v>5</v>
      </c>
      <c r="J581" s="18">
        <f t="shared" si="18"/>
        <v>0</v>
      </c>
      <c r="K581" s="18">
        <f t="shared" si="19"/>
        <v>12</v>
      </c>
      <c r="L581" s="20">
        <f>IF(H581="Shipped",'Capacity &amp; Cost Dashboard'!D27+'Capacity &amp; Cost Dashboard'!D28*D581*INDEX('Capacity &amp; Cost Dashboard'!$C$31:$C$38,MATCH(INDEX(Products!$C$2:$C$31,MATCH(C581,Products!$A$2:$A$31,0)),'Capacity &amp; Cost Dashboard'!$B$31:$B$38,0)),0)</f>
        <v>11.6</v>
      </c>
    </row>
    <row r="582" spans="1:12" ht="18" x14ac:dyDescent="0.2">
      <c r="A582" s="17">
        <v>1172</v>
      </c>
      <c r="B582" s="17" t="s">
        <v>853</v>
      </c>
      <c r="C582" s="17" t="s">
        <v>120</v>
      </c>
      <c r="D582" s="17">
        <v>10</v>
      </c>
      <c r="E582" s="17" t="s">
        <v>184</v>
      </c>
      <c r="F582" s="17" t="s">
        <v>626</v>
      </c>
      <c r="G582" s="17" t="s">
        <v>626</v>
      </c>
      <c r="H582" s="17" t="s">
        <v>828</v>
      </c>
      <c r="I582" s="17">
        <v>4</v>
      </c>
      <c r="J582" s="18">
        <f t="shared" si="18"/>
        <v>0</v>
      </c>
      <c r="K582" s="18">
        <f t="shared" si="19"/>
        <v>12</v>
      </c>
      <c r="L582" s="20">
        <f>IF(H582="Shipped",'Capacity &amp; Cost Dashboard'!D27+'Capacity &amp; Cost Dashboard'!D28*D582*INDEX('Capacity &amp; Cost Dashboard'!$C$31:$C$38,MATCH(INDEX(Products!$C$2:$C$31,MATCH(C582,Products!$A$2:$A$31,0)),'Capacity &amp; Cost Dashboard'!$B$31:$B$38,0)),0)</f>
        <v>12.5</v>
      </c>
    </row>
    <row r="583" spans="1:12" ht="18" x14ac:dyDescent="0.2">
      <c r="A583" s="17">
        <v>1173</v>
      </c>
      <c r="B583" s="17" t="s">
        <v>851</v>
      </c>
      <c r="C583" s="17" t="s">
        <v>120</v>
      </c>
      <c r="D583" s="17">
        <v>14</v>
      </c>
      <c r="E583" s="17" t="s">
        <v>593</v>
      </c>
      <c r="F583" s="17" t="s">
        <v>625</v>
      </c>
      <c r="G583" s="17" t="s">
        <v>625</v>
      </c>
      <c r="H583" s="17" t="s">
        <v>828</v>
      </c>
      <c r="I583" s="17">
        <v>4</v>
      </c>
      <c r="J583" s="18">
        <f t="shared" si="18"/>
        <v>0</v>
      </c>
      <c r="K583" s="18">
        <f t="shared" si="19"/>
        <v>12</v>
      </c>
      <c r="L583" s="20">
        <f>IF(H583="Shipped",'Capacity &amp; Cost Dashboard'!D27+'Capacity &amp; Cost Dashboard'!D28*D583*INDEX('Capacity &amp; Cost Dashboard'!$C$31:$C$38,MATCH(INDEX(Products!$C$2:$C$31,MATCH(C583,Products!$A$2:$A$31,0)),'Capacity &amp; Cost Dashboard'!$B$31:$B$38,0)),0)</f>
        <v>14.3</v>
      </c>
    </row>
    <row r="584" spans="1:12" ht="18" x14ac:dyDescent="0.2">
      <c r="A584" s="17">
        <v>1174</v>
      </c>
      <c r="B584" s="17" t="s">
        <v>843</v>
      </c>
      <c r="C584" s="17" t="s">
        <v>136</v>
      </c>
      <c r="D584" s="17">
        <v>7</v>
      </c>
      <c r="E584" s="17" t="s">
        <v>629</v>
      </c>
      <c r="F584" s="17" t="s">
        <v>664</v>
      </c>
      <c r="G584" s="17"/>
      <c r="H584" s="17" t="s">
        <v>859</v>
      </c>
      <c r="I584" s="17"/>
      <c r="J584" s="18" t="str">
        <f t="shared" si="18"/>
        <v/>
      </c>
      <c r="K584" s="18">
        <f t="shared" si="19"/>
        <v>12</v>
      </c>
      <c r="L584" s="20">
        <f>IF(H584="Shipped",'Capacity &amp; Cost Dashboard'!D27+'Capacity &amp; Cost Dashboard'!D28*D584*INDEX('Capacity &amp; Cost Dashboard'!$C$31:$C$38,MATCH(INDEX(Products!$C$2:$C$31,MATCH(C584,Products!$A$2:$A$31,0)),'Capacity &amp; Cost Dashboard'!$B$31:$B$38,0)),0)</f>
        <v>0</v>
      </c>
    </row>
    <row r="585" spans="1:12" ht="18" x14ac:dyDescent="0.2">
      <c r="A585" s="17">
        <v>1175</v>
      </c>
      <c r="B585" s="17" t="s">
        <v>842</v>
      </c>
      <c r="C585" s="17" t="s">
        <v>147</v>
      </c>
      <c r="D585" s="17">
        <v>38</v>
      </c>
      <c r="E585" s="17" t="s">
        <v>632</v>
      </c>
      <c r="F585" s="17" t="s">
        <v>858</v>
      </c>
      <c r="G585" s="17" t="s">
        <v>656</v>
      </c>
      <c r="H585" s="17" t="s">
        <v>828</v>
      </c>
      <c r="I585" s="17">
        <v>5</v>
      </c>
      <c r="J585" s="18">
        <f t="shared" si="18"/>
        <v>0</v>
      </c>
      <c r="K585" s="18">
        <f t="shared" si="19"/>
        <v>12</v>
      </c>
      <c r="L585" s="20">
        <f>IF(H585="Shipped",'Capacity &amp; Cost Dashboard'!D27+'Capacity &amp; Cost Dashboard'!D28*D585*INDEX('Capacity &amp; Cost Dashboard'!$C$31:$C$38,MATCH(INDEX(Products!$C$2:$C$31,MATCH(C585,Products!$A$2:$A$31,0)),'Capacity &amp; Cost Dashboard'!$B$31:$B$38,0)),0)</f>
        <v>13.129999999999999</v>
      </c>
    </row>
    <row r="586" spans="1:12" ht="18" x14ac:dyDescent="0.2">
      <c r="A586" s="17">
        <v>1176</v>
      </c>
      <c r="B586" s="17" t="s">
        <v>849</v>
      </c>
      <c r="C586" s="17" t="s">
        <v>145</v>
      </c>
      <c r="D586" s="17">
        <v>20</v>
      </c>
      <c r="E586" s="17" t="s">
        <v>632</v>
      </c>
      <c r="F586" s="17" t="s">
        <v>625</v>
      </c>
      <c r="G586" s="17" t="s">
        <v>625</v>
      </c>
      <c r="H586" s="17" t="s">
        <v>828</v>
      </c>
      <c r="I586" s="17">
        <v>5</v>
      </c>
      <c r="J586" s="18">
        <f t="shared" si="18"/>
        <v>0</v>
      </c>
      <c r="K586" s="18">
        <f t="shared" si="19"/>
        <v>12</v>
      </c>
      <c r="L586" s="20">
        <f>IF(H586="Shipped",'Capacity &amp; Cost Dashboard'!D27+'Capacity &amp; Cost Dashboard'!D28*D586*INDEX('Capacity &amp; Cost Dashboard'!$C$31:$C$38,MATCH(INDEX(Products!$C$2:$C$31,MATCH(C586,Products!$A$2:$A$31,0)),'Capacity &amp; Cost Dashboard'!$B$31:$B$38,0)),0)</f>
        <v>10.7</v>
      </c>
    </row>
    <row r="587" spans="1:12" ht="18" x14ac:dyDescent="0.2">
      <c r="A587" s="17">
        <v>1177</v>
      </c>
      <c r="B587" s="17" t="s">
        <v>844</v>
      </c>
      <c r="C587" s="17" t="s">
        <v>102</v>
      </c>
      <c r="D587" s="17">
        <v>15</v>
      </c>
      <c r="E587" s="17" t="s">
        <v>635</v>
      </c>
      <c r="F587" s="17" t="s">
        <v>625</v>
      </c>
      <c r="G587" s="17" t="s">
        <v>625</v>
      </c>
      <c r="H587" s="17" t="s">
        <v>828</v>
      </c>
      <c r="I587" s="17">
        <v>5</v>
      </c>
      <c r="J587" s="18">
        <f t="shared" si="18"/>
        <v>0</v>
      </c>
      <c r="K587" s="18">
        <f t="shared" si="19"/>
        <v>12</v>
      </c>
      <c r="L587" s="20" t="e">
        <f>IF(H587="Shipped",'Capacity &amp; Cost Dashboard'!D27+'Capacity &amp; Cost Dashboard'!D28*D587*INDEX('Capacity &amp; Cost Dashboard'!$C$31:$C$38,MATCH(INDEX(Products!$C$2:$C$31,MATCH(C587,Products!$A$2:$A$31,0)),'Capacity &amp; Cost Dashboard'!$B$31:$B$38,0)),0)</f>
        <v>#N/A</v>
      </c>
    </row>
    <row r="588" spans="1:12" ht="18" x14ac:dyDescent="0.2">
      <c r="A588" s="17">
        <v>1178</v>
      </c>
      <c r="B588" s="17" t="s">
        <v>848</v>
      </c>
      <c r="C588" s="17" t="s">
        <v>111</v>
      </c>
      <c r="D588" s="17">
        <v>24</v>
      </c>
      <c r="E588" s="17" t="s">
        <v>632</v>
      </c>
      <c r="F588" s="17" t="s">
        <v>625</v>
      </c>
      <c r="G588" s="17" t="s">
        <v>626</v>
      </c>
      <c r="H588" s="17" t="s">
        <v>828</v>
      </c>
      <c r="I588" s="17">
        <v>5</v>
      </c>
      <c r="J588" s="18">
        <f t="shared" si="18"/>
        <v>0</v>
      </c>
      <c r="K588" s="18">
        <f t="shared" si="19"/>
        <v>12</v>
      </c>
      <c r="L588" s="20">
        <f>IF(H588="Shipped",'Capacity &amp; Cost Dashboard'!D27+'Capacity &amp; Cost Dashboard'!D28*D588*INDEX('Capacity &amp; Cost Dashboard'!$C$31:$C$38,MATCH(INDEX(Products!$C$2:$C$31,MATCH(C588,Products!$A$2:$A$31,0)),'Capacity &amp; Cost Dashboard'!$B$31:$B$38,0)),0)</f>
        <v>62</v>
      </c>
    </row>
    <row r="589" spans="1:12" ht="18" x14ac:dyDescent="0.2">
      <c r="A589" s="17">
        <v>1179</v>
      </c>
      <c r="B589" s="17" t="s">
        <v>841</v>
      </c>
      <c r="C589" s="17" t="s">
        <v>134</v>
      </c>
      <c r="D589" s="17">
        <v>7</v>
      </c>
      <c r="E589" s="17" t="s">
        <v>635</v>
      </c>
      <c r="F589" s="17" t="s">
        <v>626</v>
      </c>
      <c r="G589" s="17" t="s">
        <v>629</v>
      </c>
      <c r="H589" s="17" t="s">
        <v>828</v>
      </c>
      <c r="I589" s="17">
        <v>4</v>
      </c>
      <c r="J589" s="18">
        <f t="shared" si="18"/>
        <v>0</v>
      </c>
      <c r="K589" s="18">
        <f t="shared" si="19"/>
        <v>12</v>
      </c>
      <c r="L589" s="20">
        <f>IF(H589="Shipped",'Capacity &amp; Cost Dashboard'!D27+'Capacity &amp; Cost Dashboard'!D28*D589*INDEX('Capacity &amp; Cost Dashboard'!$C$31:$C$38,MATCH(INDEX(Products!$C$2:$C$31,MATCH(C589,Products!$A$2:$A$31,0)),'Capacity &amp; Cost Dashboard'!$B$31:$B$38,0)),0)</f>
        <v>14.3</v>
      </c>
    </row>
    <row r="590" spans="1:12" ht="18" x14ac:dyDescent="0.2">
      <c r="A590" s="17">
        <v>1180</v>
      </c>
      <c r="B590" s="17" t="s">
        <v>831</v>
      </c>
      <c r="C590" s="17" t="s">
        <v>118</v>
      </c>
      <c r="D590" s="17">
        <v>13</v>
      </c>
      <c r="E590" s="17" t="s">
        <v>635</v>
      </c>
      <c r="F590" s="17" t="s">
        <v>656</v>
      </c>
      <c r="G590" s="17" t="s">
        <v>687</v>
      </c>
      <c r="H590" s="17" t="s">
        <v>828</v>
      </c>
      <c r="I590" s="17">
        <v>2</v>
      </c>
      <c r="J590" s="18">
        <f t="shared" si="18"/>
        <v>1</v>
      </c>
      <c r="K590" s="18">
        <f t="shared" si="19"/>
        <v>12</v>
      </c>
      <c r="L590" s="20">
        <f>IF(H590="Shipped",'Capacity &amp; Cost Dashboard'!D27+'Capacity &amp; Cost Dashboard'!D28*D590*INDEX('Capacity &amp; Cost Dashboard'!$C$31:$C$38,MATCH(INDEX(Products!$C$2:$C$31,MATCH(C590,Products!$A$2:$A$31,0)),'Capacity &amp; Cost Dashboard'!$B$31:$B$38,0)),0)</f>
        <v>19.700000000000003</v>
      </c>
    </row>
    <row r="591" spans="1:12" ht="18" x14ac:dyDescent="0.2">
      <c r="A591" s="17">
        <v>1181</v>
      </c>
      <c r="B591" s="17" t="s">
        <v>834</v>
      </c>
      <c r="C591" s="17" t="s">
        <v>143</v>
      </c>
      <c r="D591" s="17">
        <v>11</v>
      </c>
      <c r="E591" s="17" t="s">
        <v>632</v>
      </c>
      <c r="F591" s="17" t="s">
        <v>858</v>
      </c>
      <c r="G591" s="17" t="s">
        <v>656</v>
      </c>
      <c r="H591" s="17" t="s">
        <v>828</v>
      </c>
      <c r="I591" s="17">
        <v>4</v>
      </c>
      <c r="J591" s="18">
        <f t="shared" si="18"/>
        <v>0</v>
      </c>
      <c r="K591" s="18">
        <f t="shared" si="19"/>
        <v>12</v>
      </c>
      <c r="L591" s="20">
        <f>IF(H591="Shipped",'Capacity &amp; Cost Dashboard'!D27+'Capacity &amp; Cost Dashboard'!D28*D591*INDEX('Capacity &amp; Cost Dashboard'!$C$31:$C$38,MATCH(INDEX(Products!$C$2:$C$31,MATCH(C591,Products!$A$2:$A$31,0)),'Capacity &amp; Cost Dashboard'!$B$31:$B$38,0)),0)</f>
        <v>9.4849999999999994</v>
      </c>
    </row>
    <row r="592" spans="1:12" ht="18" x14ac:dyDescent="0.2">
      <c r="A592" s="17">
        <v>1182</v>
      </c>
      <c r="B592" s="17" t="s">
        <v>843</v>
      </c>
      <c r="C592" s="17" t="s">
        <v>95</v>
      </c>
      <c r="D592" s="17">
        <v>8</v>
      </c>
      <c r="E592" s="17" t="s">
        <v>593</v>
      </c>
      <c r="F592" s="17" t="s">
        <v>625</v>
      </c>
      <c r="G592" s="17" t="s">
        <v>626</v>
      </c>
      <c r="H592" s="17" t="s">
        <v>828</v>
      </c>
      <c r="I592" s="17">
        <v>5</v>
      </c>
      <c r="J592" s="18">
        <f t="shared" si="18"/>
        <v>0</v>
      </c>
      <c r="K592" s="18">
        <f t="shared" si="19"/>
        <v>12</v>
      </c>
      <c r="L592" s="20" t="e">
        <f>IF(H592="Shipped",'Capacity &amp; Cost Dashboard'!D27+'Capacity &amp; Cost Dashboard'!D28*D592*INDEX('Capacity &amp; Cost Dashboard'!$C$31:$C$38,MATCH(INDEX(Products!$C$2:$C$31,MATCH(C592,Products!$A$2:$A$31,0)),'Capacity &amp; Cost Dashboard'!$B$31:$B$38,0)),0)</f>
        <v>#N/A</v>
      </c>
    </row>
    <row r="593" spans="1:12" ht="18" x14ac:dyDescent="0.2">
      <c r="A593" s="17">
        <v>1183</v>
      </c>
      <c r="B593" s="17" t="s">
        <v>853</v>
      </c>
      <c r="C593" s="17" t="s">
        <v>136</v>
      </c>
      <c r="D593" s="17">
        <v>14</v>
      </c>
      <c r="E593" s="17" t="s">
        <v>635</v>
      </c>
      <c r="F593" s="17" t="s">
        <v>656</v>
      </c>
      <c r="G593" s="17" t="s">
        <v>656</v>
      </c>
      <c r="H593" s="17" t="s">
        <v>828</v>
      </c>
      <c r="I593" s="17">
        <v>5</v>
      </c>
      <c r="J593" s="18">
        <f t="shared" si="18"/>
        <v>0</v>
      </c>
      <c r="K593" s="18">
        <f t="shared" si="19"/>
        <v>12</v>
      </c>
      <c r="L593" s="20">
        <f>IF(H593="Shipped",'Capacity &amp; Cost Dashboard'!D27+'Capacity &amp; Cost Dashboard'!D28*D593*INDEX('Capacity &amp; Cost Dashboard'!$C$31:$C$38,MATCH(INDEX(Products!$C$2:$C$31,MATCH(C593,Products!$A$2:$A$31,0)),'Capacity &amp; Cost Dashboard'!$B$31:$B$38,0)),0)</f>
        <v>9.89</v>
      </c>
    </row>
    <row r="594" spans="1:12" ht="18" x14ac:dyDescent="0.2">
      <c r="A594" s="17">
        <v>1184</v>
      </c>
      <c r="B594" s="17" t="s">
        <v>839</v>
      </c>
      <c r="C594" s="17" t="s">
        <v>145</v>
      </c>
      <c r="D594" s="17">
        <v>20</v>
      </c>
      <c r="E594" s="17" t="s">
        <v>632</v>
      </c>
      <c r="F594" s="17" t="s">
        <v>625</v>
      </c>
      <c r="G594" s="17" t="s">
        <v>625</v>
      </c>
      <c r="H594" s="17" t="s">
        <v>828</v>
      </c>
      <c r="I594" s="17">
        <v>4</v>
      </c>
      <c r="J594" s="18">
        <f t="shared" si="18"/>
        <v>0</v>
      </c>
      <c r="K594" s="18">
        <f t="shared" si="19"/>
        <v>12</v>
      </c>
      <c r="L594" s="20">
        <f>IF(H594="Shipped",'Capacity &amp; Cost Dashboard'!D27+'Capacity &amp; Cost Dashboard'!D28*D594*INDEX('Capacity &amp; Cost Dashboard'!$C$31:$C$38,MATCH(INDEX(Products!$C$2:$C$31,MATCH(C594,Products!$A$2:$A$31,0)),'Capacity &amp; Cost Dashboard'!$B$31:$B$38,0)),0)</f>
        <v>10.7</v>
      </c>
    </row>
    <row r="595" spans="1:12" ht="18" x14ac:dyDescent="0.2">
      <c r="A595" s="17">
        <v>1185</v>
      </c>
      <c r="B595" s="17" t="s">
        <v>826</v>
      </c>
      <c r="C595" s="17" t="s">
        <v>132</v>
      </c>
      <c r="D595" s="17">
        <v>3</v>
      </c>
      <c r="E595" s="17" t="s">
        <v>632</v>
      </c>
      <c r="F595" s="17" t="s">
        <v>858</v>
      </c>
      <c r="G595" s="17" t="s">
        <v>687</v>
      </c>
      <c r="H595" s="17" t="s">
        <v>828</v>
      </c>
      <c r="I595" s="17">
        <v>2</v>
      </c>
      <c r="J595" s="18">
        <f t="shared" si="18"/>
        <v>1</v>
      </c>
      <c r="K595" s="18">
        <f t="shared" si="19"/>
        <v>12</v>
      </c>
      <c r="L595" s="20">
        <f>IF(H595="Shipped",'Capacity &amp; Cost Dashboard'!D27+'Capacity &amp; Cost Dashboard'!D28*D595*INDEX('Capacity &amp; Cost Dashboard'!$C$31:$C$38,MATCH(INDEX(Products!$C$2:$C$31,MATCH(C595,Products!$A$2:$A$31,0)),'Capacity &amp; Cost Dashboard'!$B$31:$B$38,0)),0)</f>
        <v>10.7</v>
      </c>
    </row>
    <row r="596" spans="1:12" ht="18" x14ac:dyDescent="0.2">
      <c r="A596" s="17">
        <v>1186</v>
      </c>
      <c r="B596" s="17" t="s">
        <v>850</v>
      </c>
      <c r="C596" s="17" t="s">
        <v>118</v>
      </c>
      <c r="D596" s="17">
        <v>9</v>
      </c>
      <c r="E596" s="17" t="s">
        <v>635</v>
      </c>
      <c r="F596" s="17" t="s">
        <v>625</v>
      </c>
      <c r="G596" s="17" t="s">
        <v>625</v>
      </c>
      <c r="H596" s="17" t="s">
        <v>828</v>
      </c>
      <c r="I596" s="17">
        <v>5</v>
      </c>
      <c r="J596" s="18">
        <f t="shared" si="18"/>
        <v>0</v>
      </c>
      <c r="K596" s="18">
        <f t="shared" si="19"/>
        <v>12</v>
      </c>
      <c r="L596" s="20">
        <f>IF(H596="Shipped",'Capacity &amp; Cost Dashboard'!D27+'Capacity &amp; Cost Dashboard'!D28*D596*INDEX('Capacity &amp; Cost Dashboard'!$C$31:$C$38,MATCH(INDEX(Products!$C$2:$C$31,MATCH(C596,Products!$A$2:$A$31,0)),'Capacity &amp; Cost Dashboard'!$B$31:$B$38,0)),0)</f>
        <v>16.100000000000001</v>
      </c>
    </row>
    <row r="597" spans="1:12" ht="18" x14ac:dyDescent="0.2">
      <c r="A597" s="17">
        <v>1187</v>
      </c>
      <c r="B597" s="17" t="s">
        <v>856</v>
      </c>
      <c r="C597" s="17" t="s">
        <v>120</v>
      </c>
      <c r="D597" s="17">
        <v>7</v>
      </c>
      <c r="E597" s="17" t="s">
        <v>184</v>
      </c>
      <c r="F597" s="17" t="s">
        <v>626</v>
      </c>
      <c r="G597" s="17" t="s">
        <v>626</v>
      </c>
      <c r="H597" s="17" t="s">
        <v>828</v>
      </c>
      <c r="I597" s="17">
        <v>4</v>
      </c>
      <c r="J597" s="18">
        <f t="shared" si="18"/>
        <v>0</v>
      </c>
      <c r="K597" s="18">
        <f t="shared" si="19"/>
        <v>12</v>
      </c>
      <c r="L597" s="20">
        <f>IF(H597="Shipped",'Capacity &amp; Cost Dashboard'!D27+'Capacity &amp; Cost Dashboard'!D28*D597*INDEX('Capacity &amp; Cost Dashboard'!$C$31:$C$38,MATCH(INDEX(Products!$C$2:$C$31,MATCH(C597,Products!$A$2:$A$31,0)),'Capacity &amp; Cost Dashboard'!$B$31:$B$38,0)),0)</f>
        <v>11.15</v>
      </c>
    </row>
    <row r="598" spans="1:12" ht="18" x14ac:dyDescent="0.2">
      <c r="A598" s="17">
        <v>1188</v>
      </c>
      <c r="B598" s="17" t="s">
        <v>847</v>
      </c>
      <c r="C598" s="17" t="s">
        <v>136</v>
      </c>
      <c r="D598" s="17">
        <v>13</v>
      </c>
      <c r="E598" s="17" t="s">
        <v>632</v>
      </c>
      <c r="F598" s="17" t="s">
        <v>858</v>
      </c>
      <c r="G598" s="17" t="s">
        <v>656</v>
      </c>
      <c r="H598" s="17" t="s">
        <v>828</v>
      </c>
      <c r="I598" s="17">
        <v>4</v>
      </c>
      <c r="J598" s="18">
        <f t="shared" si="18"/>
        <v>0</v>
      </c>
      <c r="K598" s="18">
        <f t="shared" si="19"/>
        <v>12</v>
      </c>
      <c r="L598" s="20">
        <f>IF(H598="Shipped",'Capacity &amp; Cost Dashboard'!D27+'Capacity &amp; Cost Dashboard'!D28*D598*INDEX('Capacity &amp; Cost Dashboard'!$C$31:$C$38,MATCH(INDEX(Products!$C$2:$C$31,MATCH(C598,Products!$A$2:$A$31,0)),'Capacity &amp; Cost Dashboard'!$B$31:$B$38,0)),0)</f>
        <v>9.7550000000000008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1"/>
  <sheetViews>
    <sheetView zoomScaleNormal="100" workbookViewId="0">
      <pane ySplit="1" topLeftCell="A2" activePane="bottomLeft" state="frozen"/>
      <selection pane="bottomLeft" activeCell="D2" sqref="D2"/>
    </sheetView>
  </sheetViews>
  <sheetFormatPr baseColWidth="10" defaultColWidth="8.6640625" defaultRowHeight="19" x14ac:dyDescent="0.25"/>
  <cols>
    <col min="1" max="6" width="27.5" style="15" customWidth="1"/>
  </cols>
  <sheetData>
    <row r="1" spans="1:6" ht="18" x14ac:dyDescent="0.2">
      <c r="A1" s="16" t="s">
        <v>860</v>
      </c>
      <c r="B1" s="16" t="s">
        <v>816</v>
      </c>
      <c r="C1" s="16" t="s">
        <v>861</v>
      </c>
      <c r="D1" s="16" t="s">
        <v>862</v>
      </c>
      <c r="E1" s="16" t="s">
        <v>863</v>
      </c>
      <c r="F1" s="16" t="s">
        <v>83</v>
      </c>
    </row>
    <row r="2" spans="1:6" ht="18" x14ac:dyDescent="0.2">
      <c r="A2" s="17">
        <v>43</v>
      </c>
      <c r="B2" s="17">
        <v>593</v>
      </c>
      <c r="C2" s="17" t="s">
        <v>239</v>
      </c>
      <c r="D2" s="17" t="s">
        <v>864</v>
      </c>
      <c r="E2" s="17">
        <v>12</v>
      </c>
      <c r="F2" s="17" t="str">
        <f>IFERROR(INDEX(Orders!$C$2:$C$598,MATCH(B2,Orders!$A$2:$A$598,0)),"")</f>
        <v>SKU-5003</v>
      </c>
    </row>
    <row r="3" spans="1:6" ht="18" x14ac:dyDescent="0.2">
      <c r="A3" s="17">
        <v>44</v>
      </c>
      <c r="B3" s="17">
        <v>602</v>
      </c>
      <c r="C3" s="17" t="s">
        <v>273</v>
      </c>
      <c r="D3" s="17" t="s">
        <v>864</v>
      </c>
      <c r="E3" s="17">
        <v>5</v>
      </c>
      <c r="F3" s="17" t="str">
        <f>IFERROR(INDEX(Orders!$C$2:$C$598,MATCH(B3,Orders!$A$2:$A$598,0)),"")</f>
        <v>SKU-6002</v>
      </c>
    </row>
    <row r="4" spans="1:6" ht="18" x14ac:dyDescent="0.2">
      <c r="A4" s="17">
        <v>45</v>
      </c>
      <c r="B4" s="17">
        <v>604</v>
      </c>
      <c r="C4" s="17" t="s">
        <v>233</v>
      </c>
      <c r="D4" s="17" t="s">
        <v>865</v>
      </c>
      <c r="E4" s="17">
        <v>9</v>
      </c>
      <c r="F4" s="17" t="str">
        <f>IFERROR(INDEX(Orders!$C$2:$C$598,MATCH(B4,Orders!$A$2:$A$598,0)),"")</f>
        <v>SKU-2004</v>
      </c>
    </row>
    <row r="5" spans="1:6" ht="18" x14ac:dyDescent="0.2">
      <c r="A5" s="17">
        <v>46</v>
      </c>
      <c r="B5" s="17">
        <v>623</v>
      </c>
      <c r="C5" s="17" t="s">
        <v>243</v>
      </c>
      <c r="D5" s="17" t="s">
        <v>866</v>
      </c>
      <c r="E5" s="17">
        <v>12</v>
      </c>
      <c r="F5" s="17" t="str">
        <f>IFERROR(INDEX(Orders!$C$2:$C$598,MATCH(B5,Orders!$A$2:$A$598,0)),"")</f>
        <v>SKU-3003</v>
      </c>
    </row>
    <row r="6" spans="1:6" ht="18" x14ac:dyDescent="0.2">
      <c r="A6" s="17">
        <v>47</v>
      </c>
      <c r="B6" s="17">
        <v>683</v>
      </c>
      <c r="C6" s="17" t="s">
        <v>267</v>
      </c>
      <c r="D6" s="17" t="s">
        <v>864</v>
      </c>
      <c r="E6" s="17">
        <v>1</v>
      </c>
      <c r="F6" s="17" t="str">
        <f>IFERROR(INDEX(Orders!$C$2:$C$598,MATCH(B6,Orders!$A$2:$A$598,0)),"")</f>
        <v>SKU-7003</v>
      </c>
    </row>
    <row r="7" spans="1:6" ht="18" x14ac:dyDescent="0.2">
      <c r="A7" s="17">
        <v>48</v>
      </c>
      <c r="B7" s="17">
        <v>688</v>
      </c>
      <c r="C7" s="17" t="s">
        <v>175</v>
      </c>
      <c r="D7" s="17" t="s">
        <v>864</v>
      </c>
      <c r="E7" s="17">
        <v>3</v>
      </c>
      <c r="F7" s="17" t="str">
        <f>IFERROR(INDEX(Orders!$C$2:$C$598,MATCH(B7,Orders!$A$2:$A$598,0)),"")</f>
        <v>SKU-1001</v>
      </c>
    </row>
    <row r="8" spans="1:6" ht="18" x14ac:dyDescent="0.2">
      <c r="A8" s="17">
        <v>49</v>
      </c>
      <c r="B8" s="17">
        <v>694</v>
      </c>
      <c r="C8" s="17" t="s">
        <v>341</v>
      </c>
      <c r="D8" s="17" t="s">
        <v>867</v>
      </c>
      <c r="E8" s="17">
        <v>3</v>
      </c>
      <c r="F8" s="17" t="str">
        <f>IFERROR(INDEX(Orders!$C$2:$C$598,MATCH(B8,Orders!$A$2:$A$598,0)),"")</f>
        <v>SKU-1002</v>
      </c>
    </row>
    <row r="9" spans="1:6" ht="18" x14ac:dyDescent="0.2">
      <c r="A9" s="17">
        <v>50</v>
      </c>
      <c r="B9" s="17">
        <v>705</v>
      </c>
      <c r="C9" s="17" t="s">
        <v>312</v>
      </c>
      <c r="D9" s="17" t="s">
        <v>867</v>
      </c>
      <c r="E9" s="17">
        <v>11</v>
      </c>
      <c r="F9" s="17" t="str">
        <f>IFERROR(INDEX(Orders!$C$2:$C$598,MATCH(B9,Orders!$A$2:$A$598,0)),"")</f>
        <v>SKU-6005</v>
      </c>
    </row>
    <row r="10" spans="1:6" ht="18" x14ac:dyDescent="0.2">
      <c r="A10" s="17">
        <v>51</v>
      </c>
      <c r="B10" s="17">
        <v>728</v>
      </c>
      <c r="C10" s="17" t="s">
        <v>360</v>
      </c>
      <c r="D10" s="17" t="s">
        <v>867</v>
      </c>
      <c r="E10" s="17">
        <v>3</v>
      </c>
      <c r="F10" s="17" t="str">
        <f>IFERROR(INDEX(Orders!$C$2:$C$598,MATCH(B10,Orders!$A$2:$A$598,0)),"")</f>
        <v>SKU-2004</v>
      </c>
    </row>
    <row r="11" spans="1:6" ht="18" x14ac:dyDescent="0.2">
      <c r="A11" s="17">
        <v>52</v>
      </c>
      <c r="B11" s="17">
        <v>768</v>
      </c>
      <c r="C11" s="17" t="s">
        <v>176</v>
      </c>
      <c r="D11" s="17" t="s">
        <v>867</v>
      </c>
      <c r="E11" s="17">
        <v>2</v>
      </c>
      <c r="F11" s="17" t="str">
        <f>IFERROR(INDEX(Orders!$C$2:$C$598,MATCH(B11,Orders!$A$2:$A$598,0)),"")</f>
        <v>SKU-4003</v>
      </c>
    </row>
    <row r="12" spans="1:6" ht="18" x14ac:dyDescent="0.2">
      <c r="A12" s="17">
        <v>53</v>
      </c>
      <c r="B12" s="17">
        <v>777</v>
      </c>
      <c r="C12" s="17" t="s">
        <v>341</v>
      </c>
      <c r="D12" s="17" t="s">
        <v>865</v>
      </c>
      <c r="E12" s="17">
        <v>4</v>
      </c>
      <c r="F12" s="17" t="str">
        <f>IFERROR(INDEX(Orders!$C$2:$C$598,MATCH(B12,Orders!$A$2:$A$598,0)),"")</f>
        <v>SKU-2003</v>
      </c>
    </row>
    <row r="13" spans="1:6" ht="18" x14ac:dyDescent="0.2">
      <c r="A13" s="17">
        <v>54</v>
      </c>
      <c r="B13" s="17">
        <v>784</v>
      </c>
      <c r="C13" s="17" t="s">
        <v>389</v>
      </c>
      <c r="D13" s="17" t="s">
        <v>865</v>
      </c>
      <c r="E13" s="17">
        <v>6</v>
      </c>
      <c r="F13" s="17" t="str">
        <f>IFERROR(INDEX(Orders!$C$2:$C$598,MATCH(B13,Orders!$A$2:$A$598,0)),"")</f>
        <v>SKU-8001</v>
      </c>
    </row>
    <row r="14" spans="1:6" ht="18" x14ac:dyDescent="0.2">
      <c r="A14" s="17">
        <v>55</v>
      </c>
      <c r="B14" s="17">
        <v>786</v>
      </c>
      <c r="C14" s="17" t="s">
        <v>410</v>
      </c>
      <c r="D14" s="17" t="s">
        <v>867</v>
      </c>
      <c r="E14" s="17">
        <v>5</v>
      </c>
      <c r="F14" s="17" t="str">
        <f>IFERROR(INDEX(Orders!$C$2:$C$598,MATCH(B14,Orders!$A$2:$A$598,0)),"")</f>
        <v>SKU-6003</v>
      </c>
    </row>
    <row r="15" spans="1:6" ht="18" x14ac:dyDescent="0.2">
      <c r="A15" s="17">
        <v>56</v>
      </c>
      <c r="B15" s="17">
        <v>796</v>
      </c>
      <c r="C15" s="17" t="s">
        <v>419</v>
      </c>
      <c r="D15" s="17" t="s">
        <v>865</v>
      </c>
      <c r="E15" s="17">
        <v>2</v>
      </c>
      <c r="F15" s="17" t="str">
        <f>IFERROR(INDEX(Orders!$C$2:$C$598,MATCH(B15,Orders!$A$2:$A$598,0)),"")</f>
        <v>SKU-8002</v>
      </c>
    </row>
    <row r="16" spans="1:6" ht="18" x14ac:dyDescent="0.2">
      <c r="A16" s="17">
        <v>57</v>
      </c>
      <c r="B16" s="17">
        <v>845</v>
      </c>
      <c r="C16" s="17" t="s">
        <v>416</v>
      </c>
      <c r="D16" s="17" t="s">
        <v>866</v>
      </c>
      <c r="E16" s="17">
        <v>4</v>
      </c>
      <c r="F16" s="17" t="str">
        <f>IFERROR(INDEX(Orders!$C$2:$C$598,MATCH(B16,Orders!$A$2:$A$598,0)),"")</f>
        <v>SKU-7002</v>
      </c>
    </row>
    <row r="17" spans="1:6" ht="18" x14ac:dyDescent="0.2">
      <c r="A17" s="17">
        <v>58</v>
      </c>
      <c r="B17" s="17">
        <v>864</v>
      </c>
      <c r="C17" s="17" t="s">
        <v>416</v>
      </c>
      <c r="D17" s="17" t="s">
        <v>865</v>
      </c>
      <c r="E17" s="17">
        <v>1</v>
      </c>
      <c r="F17" s="17" t="str">
        <f>IFERROR(INDEX(Orders!$C$2:$C$598,MATCH(B17,Orders!$A$2:$A$598,0)),"")</f>
        <v>SKU-1004</v>
      </c>
    </row>
    <row r="18" spans="1:6" ht="18" x14ac:dyDescent="0.2">
      <c r="A18" s="17">
        <v>59</v>
      </c>
      <c r="B18" s="17">
        <v>880</v>
      </c>
      <c r="C18" s="17" t="s">
        <v>442</v>
      </c>
      <c r="D18" s="17" t="s">
        <v>866</v>
      </c>
      <c r="E18" s="17">
        <v>10</v>
      </c>
      <c r="F18" s="17" t="str">
        <f>IFERROR(INDEX(Orders!$C$2:$C$598,MATCH(B18,Orders!$A$2:$A$598,0)),"")</f>
        <v>SKU-4003</v>
      </c>
    </row>
    <row r="19" spans="1:6" ht="18" x14ac:dyDescent="0.2">
      <c r="A19" s="17">
        <v>60</v>
      </c>
      <c r="B19" s="17">
        <v>890</v>
      </c>
      <c r="C19" s="17" t="s">
        <v>498</v>
      </c>
      <c r="D19" s="17" t="s">
        <v>867</v>
      </c>
      <c r="E19" s="17">
        <v>12</v>
      </c>
      <c r="F19" s="17" t="str">
        <f>IFERROR(INDEX(Orders!$C$2:$C$598,MATCH(B19,Orders!$A$2:$A$598,0)),"")</f>
        <v>SKU-1004</v>
      </c>
    </row>
    <row r="20" spans="1:6" ht="18" x14ac:dyDescent="0.2">
      <c r="A20" s="17">
        <v>61</v>
      </c>
      <c r="B20" s="17">
        <v>895</v>
      </c>
      <c r="C20" s="17" t="s">
        <v>179</v>
      </c>
      <c r="D20" s="17" t="s">
        <v>865</v>
      </c>
      <c r="E20" s="17">
        <v>22</v>
      </c>
      <c r="F20" s="17" t="str">
        <f>IFERROR(INDEX(Orders!$C$2:$C$598,MATCH(B20,Orders!$A$2:$A$598,0)),"")</f>
        <v>SKU-1002</v>
      </c>
    </row>
    <row r="21" spans="1:6" ht="18" x14ac:dyDescent="0.2">
      <c r="A21" s="17">
        <v>62</v>
      </c>
      <c r="B21" s="17">
        <v>916</v>
      </c>
      <c r="C21" s="17" t="s">
        <v>497</v>
      </c>
      <c r="D21" s="17" t="s">
        <v>866</v>
      </c>
      <c r="E21" s="17">
        <v>5</v>
      </c>
      <c r="F21" s="17" t="str">
        <f>IFERROR(INDEX(Orders!$C$2:$C$598,MATCH(B21,Orders!$A$2:$A$598,0)),"")</f>
        <v>SKU-6004</v>
      </c>
    </row>
    <row r="22" spans="1:6" ht="18" x14ac:dyDescent="0.2">
      <c r="A22" s="17">
        <v>63</v>
      </c>
      <c r="B22" s="17">
        <v>930</v>
      </c>
      <c r="C22" s="17" t="s">
        <v>467</v>
      </c>
      <c r="D22" s="17" t="s">
        <v>867</v>
      </c>
      <c r="E22" s="17">
        <v>5</v>
      </c>
      <c r="F22" s="17" t="str">
        <f>IFERROR(INDEX(Orders!$C$2:$C$598,MATCH(B22,Orders!$A$2:$A$598,0)),"")</f>
        <v>SKU-1003</v>
      </c>
    </row>
    <row r="23" spans="1:6" ht="18" x14ac:dyDescent="0.2">
      <c r="A23" s="17">
        <v>64</v>
      </c>
      <c r="B23" s="17">
        <v>934</v>
      </c>
      <c r="C23" s="17" t="s">
        <v>181</v>
      </c>
      <c r="D23" s="17" t="s">
        <v>867</v>
      </c>
      <c r="E23" s="17">
        <v>2</v>
      </c>
      <c r="F23" s="17" t="str">
        <f>IFERROR(INDEX(Orders!$C$2:$C$598,MATCH(B23,Orders!$A$2:$A$598,0)),"")</f>
        <v>SKU-6003</v>
      </c>
    </row>
    <row r="24" spans="1:6" ht="18" x14ac:dyDescent="0.2">
      <c r="A24" s="17">
        <v>65</v>
      </c>
      <c r="B24" s="17">
        <v>938</v>
      </c>
      <c r="C24" s="17" t="s">
        <v>502</v>
      </c>
      <c r="D24" s="17" t="s">
        <v>864</v>
      </c>
      <c r="E24" s="17">
        <v>33</v>
      </c>
      <c r="F24" s="17" t="str">
        <f>IFERROR(INDEX(Orders!$C$2:$C$598,MATCH(B24,Orders!$A$2:$A$598,0)),"")</f>
        <v>SKU-6004</v>
      </c>
    </row>
    <row r="25" spans="1:6" ht="18" x14ac:dyDescent="0.2">
      <c r="A25" s="17">
        <v>66</v>
      </c>
      <c r="B25" s="17">
        <v>953</v>
      </c>
      <c r="C25" s="17" t="s">
        <v>524</v>
      </c>
      <c r="D25" s="17" t="s">
        <v>864</v>
      </c>
      <c r="E25" s="17">
        <v>3</v>
      </c>
      <c r="F25" s="17" t="str">
        <f>IFERROR(INDEX(Orders!$C$2:$C$598,MATCH(B25,Orders!$A$2:$A$598,0)),"")</f>
        <v>SKU-5001</v>
      </c>
    </row>
    <row r="26" spans="1:6" ht="18" x14ac:dyDescent="0.2">
      <c r="A26" s="17">
        <v>67</v>
      </c>
      <c r="B26" s="17">
        <v>962</v>
      </c>
      <c r="C26" s="17" t="s">
        <v>498</v>
      </c>
      <c r="D26" s="17" t="s">
        <v>867</v>
      </c>
      <c r="E26" s="17">
        <v>5</v>
      </c>
      <c r="F26" s="17" t="str">
        <f>IFERROR(INDEX(Orders!$C$2:$C$598,MATCH(B26,Orders!$A$2:$A$598,0)),"")</f>
        <v>SKU-1004</v>
      </c>
    </row>
    <row r="27" spans="1:6" ht="18" x14ac:dyDescent="0.2">
      <c r="A27" s="17">
        <v>68</v>
      </c>
      <c r="B27" s="17">
        <v>969</v>
      </c>
      <c r="C27" s="17" t="s">
        <v>182</v>
      </c>
      <c r="D27" s="17" t="s">
        <v>864</v>
      </c>
      <c r="E27" s="17">
        <v>5</v>
      </c>
      <c r="F27" s="17" t="str">
        <f>IFERROR(INDEX(Orders!$C$2:$C$598,MATCH(B27,Orders!$A$2:$A$598,0)),"")</f>
        <v>SKU-3002</v>
      </c>
    </row>
    <row r="28" spans="1:6" ht="18" x14ac:dyDescent="0.2">
      <c r="A28" s="17">
        <v>69</v>
      </c>
      <c r="B28" s="17">
        <v>973</v>
      </c>
      <c r="C28" s="17" t="s">
        <v>553</v>
      </c>
      <c r="D28" s="17" t="s">
        <v>864</v>
      </c>
      <c r="E28" s="17">
        <v>4</v>
      </c>
      <c r="F28" s="17" t="str">
        <f>IFERROR(INDEX(Orders!$C$2:$C$598,MATCH(B28,Orders!$A$2:$A$598,0)),"")</f>
        <v>SKU-7002</v>
      </c>
    </row>
    <row r="29" spans="1:6" ht="18" x14ac:dyDescent="0.2">
      <c r="A29" s="17">
        <v>70</v>
      </c>
      <c r="B29" s="17">
        <v>981</v>
      </c>
      <c r="C29" s="17" t="s">
        <v>586</v>
      </c>
      <c r="D29" s="17" t="s">
        <v>866</v>
      </c>
      <c r="E29" s="17">
        <v>2</v>
      </c>
      <c r="F29" s="17" t="str">
        <f>IFERROR(INDEX(Orders!$C$2:$C$598,MATCH(B29,Orders!$A$2:$A$598,0)),"")</f>
        <v>SKU-4002</v>
      </c>
    </row>
    <row r="30" spans="1:6" ht="18" x14ac:dyDescent="0.2">
      <c r="A30" s="17">
        <v>71</v>
      </c>
      <c r="B30" s="17">
        <v>1005</v>
      </c>
      <c r="C30" s="17" t="s">
        <v>525</v>
      </c>
      <c r="D30" s="17" t="s">
        <v>866</v>
      </c>
      <c r="E30" s="17">
        <v>4</v>
      </c>
      <c r="F30" s="17" t="str">
        <f>IFERROR(INDEX(Orders!$C$2:$C$598,MATCH(B30,Orders!$A$2:$A$598,0)),"")</f>
        <v>SKU-4002</v>
      </c>
    </row>
    <row r="31" spans="1:6" ht="18" x14ac:dyDescent="0.2">
      <c r="A31" s="17">
        <v>72</v>
      </c>
      <c r="B31" s="17">
        <v>1021</v>
      </c>
      <c r="C31" s="17" t="s">
        <v>540</v>
      </c>
      <c r="D31" s="17" t="s">
        <v>867</v>
      </c>
      <c r="E31" s="17">
        <v>12</v>
      </c>
      <c r="F31" s="17" t="str">
        <f>IFERROR(INDEX(Orders!$C$2:$C$598,MATCH(B31,Orders!$A$2:$A$598,0)),"")</f>
        <v>SKU-6003</v>
      </c>
    </row>
    <row r="32" spans="1:6" ht="18" x14ac:dyDescent="0.2">
      <c r="A32" s="17">
        <v>73</v>
      </c>
      <c r="B32" s="17">
        <v>1025</v>
      </c>
      <c r="C32" s="17" t="s">
        <v>524</v>
      </c>
      <c r="D32" s="17" t="s">
        <v>866</v>
      </c>
      <c r="E32" s="17">
        <v>2</v>
      </c>
      <c r="F32" s="17" t="str">
        <f>IFERROR(INDEX(Orders!$C$2:$C$598,MATCH(B32,Orders!$A$2:$A$598,0)),"")</f>
        <v>SKU-4002</v>
      </c>
    </row>
    <row r="33" spans="1:6" ht="18" x14ac:dyDescent="0.2">
      <c r="A33" s="17">
        <v>74</v>
      </c>
      <c r="B33" s="17">
        <v>1032</v>
      </c>
      <c r="C33" s="17" t="s">
        <v>532</v>
      </c>
      <c r="D33" s="17" t="s">
        <v>865</v>
      </c>
      <c r="E33" s="17">
        <v>4</v>
      </c>
      <c r="F33" s="17" t="str">
        <f>IFERROR(INDEX(Orders!$C$2:$C$598,MATCH(B33,Orders!$A$2:$A$598,0)),"")</f>
        <v>SKU-4003</v>
      </c>
    </row>
    <row r="34" spans="1:6" ht="18" x14ac:dyDescent="0.2">
      <c r="A34" s="17">
        <v>75</v>
      </c>
      <c r="B34" s="17">
        <v>1054</v>
      </c>
      <c r="C34" s="17" t="s">
        <v>184</v>
      </c>
      <c r="D34" s="17" t="s">
        <v>867</v>
      </c>
      <c r="E34" s="17">
        <v>5</v>
      </c>
      <c r="F34" s="17" t="str">
        <f>IFERROR(INDEX(Orders!$C$2:$C$598,MATCH(B34,Orders!$A$2:$A$598,0)),"")</f>
        <v>SKU-6004</v>
      </c>
    </row>
    <row r="35" spans="1:6" ht="18" x14ac:dyDescent="0.2">
      <c r="A35" s="17">
        <v>76</v>
      </c>
      <c r="B35" s="17">
        <v>1055</v>
      </c>
      <c r="C35" s="17" t="s">
        <v>183</v>
      </c>
      <c r="D35" s="17" t="s">
        <v>866</v>
      </c>
      <c r="E35" s="17">
        <v>1</v>
      </c>
      <c r="F35" s="17" t="str">
        <f>IFERROR(INDEX(Orders!$C$2:$C$598,MATCH(B35,Orders!$A$2:$A$598,0)),"")</f>
        <v>SKU-6003</v>
      </c>
    </row>
    <row r="36" spans="1:6" ht="18" x14ac:dyDescent="0.2">
      <c r="A36" s="17">
        <v>77</v>
      </c>
      <c r="B36" s="17">
        <v>1102</v>
      </c>
      <c r="C36" s="17" t="s">
        <v>629</v>
      </c>
      <c r="D36" s="17" t="s">
        <v>865</v>
      </c>
      <c r="E36" s="17">
        <v>3</v>
      </c>
      <c r="F36" s="17" t="str">
        <f>IFERROR(INDEX(Orders!$C$2:$C$598,MATCH(B36,Orders!$A$2:$A$598,0)),"")</f>
        <v>SKU-6001</v>
      </c>
    </row>
    <row r="37" spans="1:6" ht="18" x14ac:dyDescent="0.2">
      <c r="A37" s="17">
        <v>78</v>
      </c>
      <c r="B37" s="17">
        <v>1114</v>
      </c>
      <c r="C37" s="17" t="s">
        <v>661</v>
      </c>
      <c r="D37" s="17" t="s">
        <v>867</v>
      </c>
      <c r="E37" s="17">
        <v>4</v>
      </c>
      <c r="F37" s="17" t="str">
        <f>IFERROR(INDEX(Orders!$C$2:$C$598,MATCH(B37,Orders!$A$2:$A$598,0)),"")</f>
        <v>SKU-2002</v>
      </c>
    </row>
    <row r="38" spans="1:6" ht="18" x14ac:dyDescent="0.2">
      <c r="A38" s="17">
        <v>79</v>
      </c>
      <c r="B38" s="17">
        <v>1133</v>
      </c>
      <c r="C38" s="17" t="s">
        <v>661</v>
      </c>
      <c r="D38" s="17" t="s">
        <v>864</v>
      </c>
      <c r="E38" s="17">
        <v>5</v>
      </c>
      <c r="F38" s="17" t="str">
        <f>IFERROR(INDEX(Orders!$C$2:$C$598,MATCH(B38,Orders!$A$2:$A$598,0)),"")</f>
        <v>SKU-4002</v>
      </c>
    </row>
    <row r="39" spans="1:6" ht="18" x14ac:dyDescent="0.2">
      <c r="A39" s="17">
        <v>80</v>
      </c>
      <c r="B39" s="17">
        <v>1147</v>
      </c>
      <c r="C39" s="17" t="s">
        <v>672</v>
      </c>
      <c r="D39" s="17" t="s">
        <v>864</v>
      </c>
      <c r="E39" s="17">
        <v>3</v>
      </c>
      <c r="F39" s="17" t="str">
        <f>IFERROR(INDEX(Orders!$C$2:$C$598,MATCH(B39,Orders!$A$2:$A$598,0)),"")</f>
        <v>SKU-1003</v>
      </c>
    </row>
    <row r="40" spans="1:6" ht="18" x14ac:dyDescent="0.2">
      <c r="A40" s="17">
        <v>81</v>
      </c>
      <c r="B40" s="17">
        <v>1158</v>
      </c>
      <c r="C40" s="17" t="s">
        <v>868</v>
      </c>
      <c r="D40" s="17" t="s">
        <v>866</v>
      </c>
      <c r="E40" s="17">
        <v>2</v>
      </c>
      <c r="F40" s="17" t="str">
        <f>IFERROR(INDEX(Orders!$C$2:$C$598,MATCH(B40,Orders!$A$2:$A$598,0)),"")</f>
        <v>SKU-2003</v>
      </c>
    </row>
    <row r="41" spans="1:6" ht="18" x14ac:dyDescent="0.2">
      <c r="A41" s="17">
        <v>82</v>
      </c>
      <c r="B41" s="17">
        <v>1168</v>
      </c>
      <c r="C41" s="17" t="s">
        <v>869</v>
      </c>
      <c r="D41" s="17" t="s">
        <v>866</v>
      </c>
      <c r="E41" s="17">
        <v>1</v>
      </c>
      <c r="F41" s="17" t="str">
        <f>IFERROR(INDEX(Orders!$C$2:$C$598,MATCH(B41,Orders!$A$2:$A$598,0)),"")</f>
        <v>SKU-5002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52"/>
  <sheetViews>
    <sheetView showGridLines="0" zoomScaleNormal="100" workbookViewId="0">
      <selection activeCell="D11" sqref="D11"/>
    </sheetView>
  </sheetViews>
  <sheetFormatPr baseColWidth="10" defaultColWidth="8.6640625" defaultRowHeight="19" x14ac:dyDescent="0.25"/>
  <cols>
    <col min="1" max="1" width="3" style="15" customWidth="1"/>
    <col min="2" max="2" width="26" style="15" customWidth="1"/>
    <col min="3" max="3" width="15" style="15" customWidth="1"/>
    <col min="4" max="4" width="24.1640625" style="15" customWidth="1"/>
    <col min="5" max="5" width="19.5" style="15" customWidth="1"/>
    <col min="6" max="20" width="8.6640625" style="15"/>
  </cols>
  <sheetData>
    <row r="2" spans="2:17" ht="23" x14ac:dyDescent="0.25">
      <c r="B2" s="4" t="s">
        <v>870</v>
      </c>
      <c r="C2" s="4" t="s">
        <v>870</v>
      </c>
      <c r="F2" s="11"/>
      <c r="H2" s="21" t="s">
        <v>78</v>
      </c>
    </row>
    <row r="5" spans="2:17" x14ac:dyDescent="0.25">
      <c r="B5" s="14" t="s">
        <v>16</v>
      </c>
      <c r="E5" s="14" t="s">
        <v>17</v>
      </c>
      <c r="H5" s="14" t="s">
        <v>871</v>
      </c>
      <c r="K5" s="14" t="s">
        <v>872</v>
      </c>
      <c r="N5" s="14" t="s">
        <v>94</v>
      </c>
      <c r="Q5" s="14" t="s">
        <v>873</v>
      </c>
    </row>
    <row r="6" spans="2:17" x14ac:dyDescent="0.25">
      <c r="B6" s="22">
        <f>COUNTA(Orders!A2:A598)</f>
        <v>597</v>
      </c>
      <c r="E6" s="22">
        <f>COUNTIFS(Orders!$H$2:$H$598,"Open")</f>
        <v>6</v>
      </c>
      <c r="H6" s="23">
        <f>IFERROR(SUM(Orders!J2:J598)/COUNTIFS(Orders!$H$2:$H$598,"Shipped"),0)</f>
        <v>0.18274111675126903</v>
      </c>
      <c r="K6" s="28">
        <f>AVERAGEIFS(Orders!$I$2:$I$598,Orders!$H$2:$H$598,"Shipped")</f>
        <v>4.2808798646362094</v>
      </c>
      <c r="N6" s="23">
        <f>IFERROR(COUNTA(Returns!A2:A41)/COUNTIFS(Orders!$H$2:$H$598,"Shipped"),0)</f>
        <v>6.7681895093062605E-2</v>
      </c>
      <c r="Q6" s="22">
        <f>COUNTIFS(CycleCounts!$G$2:$G$391,"Damage")</f>
        <v>4</v>
      </c>
    </row>
    <row r="8" spans="2:17" x14ac:dyDescent="0.25">
      <c r="B8" s="10" t="s">
        <v>874</v>
      </c>
    </row>
    <row r="9" spans="2:17" x14ac:dyDescent="0.25">
      <c r="B9" s="16" t="s">
        <v>862</v>
      </c>
      <c r="C9" s="16" t="s">
        <v>875</v>
      </c>
      <c r="D9" s="16" t="s">
        <v>863</v>
      </c>
    </row>
    <row r="10" spans="2:17" x14ac:dyDescent="0.25">
      <c r="B10" s="17" t="s">
        <v>864</v>
      </c>
      <c r="C10" s="18">
        <f>COUNTIFS(Returns!$D$2:$D$41,B10)</f>
        <v>10</v>
      </c>
      <c r="D10" s="18">
        <f>SUMIFS(Returns!$E$2:$E$41,Returns!$D$2:$D$41,B10)</f>
        <v>74</v>
      </c>
    </row>
    <row r="11" spans="2:17" x14ac:dyDescent="0.25">
      <c r="B11" s="17" t="s">
        <v>866</v>
      </c>
      <c r="C11" s="18">
        <f>COUNTIFS(Returns!$D$2:$D$41,B11)</f>
        <v>10</v>
      </c>
      <c r="D11" s="18">
        <f>SUMIFS(Returns!$E$2:$E$41,Returns!$D$2:$D$41,B11)</f>
        <v>43</v>
      </c>
    </row>
    <row r="12" spans="2:17" x14ac:dyDescent="0.25">
      <c r="B12" s="17" t="s">
        <v>867</v>
      </c>
      <c r="C12" s="18">
        <f>COUNTIFS(Returns!$D$2:$D$41,B12)</f>
        <v>12</v>
      </c>
      <c r="D12" s="18">
        <f>SUMIFS(Returns!$E$2:$E$41,Returns!$D$2:$D$41,B12)</f>
        <v>69</v>
      </c>
    </row>
    <row r="13" spans="2:17" x14ac:dyDescent="0.25">
      <c r="B13" s="17" t="s">
        <v>865</v>
      </c>
      <c r="C13" s="18">
        <f>COUNTIFS(Returns!$D$2:$D$41,B13)</f>
        <v>8</v>
      </c>
      <c r="D13" s="18">
        <f>SUMIFS(Returns!$E$2:$E$41,Returns!$D$2:$D$41,B13)</f>
        <v>51</v>
      </c>
    </row>
    <row r="17" spans="2:5" x14ac:dyDescent="0.25">
      <c r="B17" s="10" t="s">
        <v>876</v>
      </c>
    </row>
    <row r="18" spans="2:5" x14ac:dyDescent="0.25">
      <c r="B18" s="16" t="s">
        <v>723</v>
      </c>
      <c r="C18" s="16" t="s">
        <v>877</v>
      </c>
      <c r="D18" s="16" t="s">
        <v>878</v>
      </c>
      <c r="E18" s="16" t="s">
        <v>879</v>
      </c>
    </row>
    <row r="19" spans="2:5" x14ac:dyDescent="0.25">
      <c r="B19" s="17" t="s">
        <v>725</v>
      </c>
      <c r="C19" s="18">
        <f>COUNTIFS(Orders!$K$2:$K$598,0,Orders!$H$2:$H$598,"Shipped")</f>
        <v>46</v>
      </c>
      <c r="D19" s="18">
        <f>SUMIFS(Orders!$J$2:$J$598,Orders!$K$2:$K$598,0,Orders!$H$2:$H$598,"Shipped")</f>
        <v>9</v>
      </c>
      <c r="E19" s="19">
        <f t="shared" ref="E19:E31" si="0">IF(C19=0,0,D19/C19)</f>
        <v>0.19565217391304349</v>
      </c>
    </row>
    <row r="20" spans="2:5" x14ac:dyDescent="0.25">
      <c r="B20" s="17" t="s">
        <v>726</v>
      </c>
      <c r="C20" s="18">
        <f>COUNTIFS(Orders!$K$2:$K$598,1,Orders!$H$2:$H$598,"Shipped")</f>
        <v>51</v>
      </c>
      <c r="D20" s="18">
        <f>SUMIFS(Orders!$J$2:$J$598,Orders!$K$2:$K$598,1,Orders!$H$2:$H$598,"Shipped")</f>
        <v>12</v>
      </c>
      <c r="E20" s="19">
        <f t="shared" si="0"/>
        <v>0.23529411764705882</v>
      </c>
    </row>
    <row r="21" spans="2:5" x14ac:dyDescent="0.25">
      <c r="B21" s="17" t="s">
        <v>727</v>
      </c>
      <c r="C21" s="18">
        <f>COUNTIFS(Orders!$K$2:$K$598,2,Orders!$H$2:$H$598,"Shipped")</f>
        <v>43</v>
      </c>
      <c r="D21" s="18">
        <f>SUMIFS(Orders!$J$2:$J$598,Orders!$K$2:$K$598,2,Orders!$H$2:$H$598,"Shipped")</f>
        <v>5</v>
      </c>
      <c r="E21" s="19">
        <f t="shared" si="0"/>
        <v>0.11627906976744186</v>
      </c>
    </row>
    <row r="22" spans="2:5" x14ac:dyDescent="0.25">
      <c r="B22" s="17" t="s">
        <v>728</v>
      </c>
      <c r="C22" s="18">
        <f>COUNTIFS(Orders!$K$2:$K$598,3,Orders!$H$2:$H$598,"Shipped")</f>
        <v>51</v>
      </c>
      <c r="D22" s="18">
        <f>SUMIFS(Orders!$J$2:$J$598,Orders!$K$2:$K$598,3,Orders!$H$2:$H$598,"Shipped")</f>
        <v>10</v>
      </c>
      <c r="E22" s="19">
        <f t="shared" si="0"/>
        <v>0.19607843137254902</v>
      </c>
    </row>
    <row r="23" spans="2:5" x14ac:dyDescent="0.25">
      <c r="B23" s="17" t="s">
        <v>729</v>
      </c>
      <c r="C23" s="18">
        <f>COUNTIFS(Orders!$K$2:$K$598,4,Orders!$H$2:$H$598,"Shipped")</f>
        <v>44</v>
      </c>
      <c r="D23" s="18">
        <f>SUMIFS(Orders!$J$2:$J$598,Orders!$K$2:$K$598,4,Orders!$H$2:$H$598,"Shipped")</f>
        <v>7</v>
      </c>
      <c r="E23" s="19">
        <f t="shared" si="0"/>
        <v>0.15909090909090909</v>
      </c>
    </row>
    <row r="24" spans="2:5" x14ac:dyDescent="0.25">
      <c r="B24" s="17" t="s">
        <v>730</v>
      </c>
      <c r="C24" s="18">
        <f>COUNTIFS(Orders!$K$2:$K$598,5,Orders!$H$2:$H$598,"Shipped")</f>
        <v>47</v>
      </c>
      <c r="D24" s="18">
        <f>SUMIFS(Orders!$J$2:$J$598,Orders!$K$2:$K$598,5,Orders!$H$2:$H$598,"Shipped")</f>
        <v>9</v>
      </c>
      <c r="E24" s="19">
        <f t="shared" si="0"/>
        <v>0.19148936170212766</v>
      </c>
    </row>
    <row r="25" spans="2:5" x14ac:dyDescent="0.25">
      <c r="B25" s="17" t="s">
        <v>731</v>
      </c>
      <c r="C25" s="18">
        <f>COUNTIFS(Orders!$K$2:$K$598,6,Orders!$H$2:$H$598,"Shipped")</f>
        <v>43</v>
      </c>
      <c r="D25" s="18">
        <f>SUMIFS(Orders!$J$2:$J$598,Orders!$K$2:$K$598,6,Orders!$H$2:$H$598,"Shipped")</f>
        <v>8</v>
      </c>
      <c r="E25" s="19">
        <f t="shared" si="0"/>
        <v>0.18604651162790697</v>
      </c>
    </row>
    <row r="26" spans="2:5" x14ac:dyDescent="0.25">
      <c r="B26" s="17" t="s">
        <v>732</v>
      </c>
      <c r="C26" s="18">
        <f>COUNTIFS(Orders!$K$2:$K$598,7,Orders!$H$2:$H$598,"Shipped")</f>
        <v>52</v>
      </c>
      <c r="D26" s="18">
        <f>SUMIFS(Orders!$J$2:$J$598,Orders!$K$2:$K$598,7,Orders!$H$2:$H$598,"Shipped")</f>
        <v>5</v>
      </c>
      <c r="E26" s="19">
        <f t="shared" si="0"/>
        <v>9.6153846153846159E-2</v>
      </c>
    </row>
    <row r="27" spans="2:5" x14ac:dyDescent="0.25">
      <c r="B27" s="17" t="s">
        <v>733</v>
      </c>
      <c r="C27" s="18">
        <f>COUNTIFS(Orders!$K$2:$K$598,8,Orders!$H$2:$H$598,"Shipped")</f>
        <v>43</v>
      </c>
      <c r="D27" s="18">
        <f>SUMIFS(Orders!$J$2:$J$598,Orders!$K$2:$K$598,8,Orders!$H$2:$H$598,"Shipped")</f>
        <v>8</v>
      </c>
      <c r="E27" s="19">
        <f t="shared" si="0"/>
        <v>0.18604651162790697</v>
      </c>
    </row>
    <row r="28" spans="2:5" x14ac:dyDescent="0.25">
      <c r="B28" s="17" t="s">
        <v>734</v>
      </c>
      <c r="C28" s="18">
        <f>COUNTIFS(Orders!$K$2:$K$598,9,Orders!$H$2:$H$598,"Shipped")</f>
        <v>43</v>
      </c>
      <c r="D28" s="18">
        <f>SUMIFS(Orders!$J$2:$J$598,Orders!$K$2:$K$598,9,Orders!$H$2:$H$598,"Shipped")</f>
        <v>8</v>
      </c>
      <c r="E28" s="19">
        <f t="shared" si="0"/>
        <v>0.18604651162790697</v>
      </c>
    </row>
    <row r="29" spans="2:5" x14ac:dyDescent="0.25">
      <c r="B29" s="17" t="s">
        <v>735</v>
      </c>
      <c r="C29" s="18">
        <f>COUNTIFS(Orders!$K$2:$K$598,10,Orders!$H$2:$H$598,"Shipped")</f>
        <v>45</v>
      </c>
      <c r="D29" s="18">
        <f>SUMIFS(Orders!$J$2:$J$598,Orders!$K$2:$K$598,10,Orders!$H$2:$H$598,"Shipped")</f>
        <v>5</v>
      </c>
      <c r="E29" s="19">
        <f t="shared" si="0"/>
        <v>0.1111111111111111</v>
      </c>
    </row>
    <row r="30" spans="2:5" x14ac:dyDescent="0.25">
      <c r="B30" s="17" t="s">
        <v>736</v>
      </c>
      <c r="C30" s="18">
        <f>COUNTIFS(Orders!$K$2:$K$598,11,Orders!$H$2:$H$598,"Shipped")</f>
        <v>42</v>
      </c>
      <c r="D30" s="18">
        <f>SUMIFS(Orders!$J$2:$J$598,Orders!$K$2:$K$598,11,Orders!$H$2:$H$598,"Shipped")</f>
        <v>13</v>
      </c>
      <c r="E30" s="19">
        <f t="shared" si="0"/>
        <v>0.30952380952380953</v>
      </c>
    </row>
    <row r="31" spans="2:5" x14ac:dyDescent="0.25">
      <c r="B31" s="17" t="s">
        <v>737</v>
      </c>
      <c r="C31" s="18">
        <f>COUNTIFS(Orders!$K$2:$K$598,12,Orders!$H$2:$H$598,"Shipped")</f>
        <v>41</v>
      </c>
      <c r="D31" s="18">
        <f>SUMIFS(Orders!$J$2:$J$598,Orders!$K$2:$K$598,12,Orders!$H$2:$H$598,"Shipped")</f>
        <v>9</v>
      </c>
      <c r="E31" s="19">
        <f t="shared" si="0"/>
        <v>0.21951219512195122</v>
      </c>
    </row>
    <row r="52" spans="2:2" x14ac:dyDescent="0.25">
      <c r="B52" s="24" t="s">
        <v>880</v>
      </c>
    </row>
  </sheetData>
  <hyperlinks>
    <hyperlink ref="H2" location="'Executive Summary'!A1" display="← Back to Executive Summary" xr:uid="{00000000-0004-0000-0E00-000000000000}"/>
  </hyperlink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130"/>
  <sheetViews>
    <sheetView showGridLines="0" tabSelected="1" topLeftCell="A19" zoomScaleNormal="100" workbookViewId="0">
      <selection activeCell="E33" sqref="E33"/>
    </sheetView>
  </sheetViews>
  <sheetFormatPr baseColWidth="10" defaultColWidth="8.6640625" defaultRowHeight="15" x14ac:dyDescent="0.2"/>
  <cols>
    <col min="1" max="1" width="3" customWidth="1"/>
    <col min="2" max="2" width="40" customWidth="1"/>
    <col min="3" max="3" width="37.1640625" customWidth="1"/>
    <col min="4" max="4" width="16" customWidth="1"/>
  </cols>
  <sheetData>
    <row r="1" spans="2:8" ht="19" x14ac:dyDescent="0.25">
      <c r="B1" s="15"/>
      <c r="C1" s="15"/>
      <c r="D1" s="15"/>
      <c r="E1" s="15"/>
      <c r="F1" s="15"/>
      <c r="G1" s="15"/>
    </row>
    <row r="2" spans="2:8" ht="19" x14ac:dyDescent="0.25">
      <c r="B2" s="10" t="s">
        <v>881</v>
      </c>
      <c r="C2" s="15"/>
      <c r="D2" s="15"/>
      <c r="E2" s="15"/>
      <c r="F2" s="15"/>
      <c r="G2" s="15"/>
      <c r="H2" s="5" t="s">
        <v>78</v>
      </c>
    </row>
    <row r="3" spans="2:8" ht="19" x14ac:dyDescent="0.25">
      <c r="B3" s="11" t="s">
        <v>882</v>
      </c>
      <c r="C3" s="15"/>
      <c r="D3" s="15"/>
      <c r="E3" s="15"/>
      <c r="F3" s="15"/>
      <c r="G3" s="15"/>
    </row>
    <row r="4" spans="2:8" ht="19" x14ac:dyDescent="0.25">
      <c r="B4" s="15"/>
      <c r="C4" s="15"/>
      <c r="D4" s="15"/>
      <c r="E4" s="15"/>
      <c r="F4" s="15"/>
      <c r="G4" s="15"/>
    </row>
    <row r="5" spans="2:8" ht="19" x14ac:dyDescent="0.25">
      <c r="B5" s="10" t="s">
        <v>883</v>
      </c>
      <c r="C5" s="15"/>
      <c r="D5" s="15"/>
      <c r="E5" s="15"/>
      <c r="F5" s="15"/>
      <c r="G5" s="15"/>
    </row>
    <row r="6" spans="2:8" ht="19" x14ac:dyDescent="0.25">
      <c r="B6" s="14" t="s">
        <v>884</v>
      </c>
      <c r="C6" s="15"/>
      <c r="D6" s="15"/>
      <c r="E6" s="15"/>
      <c r="F6" s="15"/>
      <c r="G6" s="15"/>
    </row>
    <row r="7" spans="2:8" ht="19" x14ac:dyDescent="0.25">
      <c r="B7" s="29">
        <f>CycleCounts!E14*Products!D2+CycleCounts!E27*Products!D3+CycleCounts!E40*Products!D4+CycleCounts!E53*Products!D5+CycleCounts!E66*Products!D6+CycleCounts!E79*Products!D7+CycleCounts!E92*Products!D8+CycleCounts!E105*Products!D9+CycleCounts!E118*Products!D10+CycleCounts!E131*Products!D11+CycleCounts!E144*Products!D12+CycleCounts!E157*Products!D13+CycleCounts!E170*Products!D14+CycleCounts!E183*Products!D15+CycleCounts!E196*Products!D16+CycleCounts!E209*Products!D17+CycleCounts!E222*Products!D18+CycleCounts!E235*Products!D19+CycleCounts!E248*Products!D20+CycleCounts!E261*Products!D21+CycleCounts!E274*Products!D22+CycleCounts!E287*Products!D23+CycleCounts!E300*Products!D24+CycleCounts!E313*Products!D25+CycleCounts!E326*Products!D26+CycleCounts!E339*Products!D27+CycleCounts!E352*Products!D28+CycleCounts!E365*Products!D29+CycleCounts!E378*Products!D30+CycleCounts!E391*Products!D31</f>
        <v>26665.790000000005</v>
      </c>
      <c r="C7" s="15"/>
      <c r="D7" s="15"/>
      <c r="E7" s="15"/>
      <c r="F7" s="15"/>
      <c r="G7" s="15"/>
    </row>
    <row r="8" spans="2:8" ht="19" x14ac:dyDescent="0.25">
      <c r="B8" s="24" t="s">
        <v>885</v>
      </c>
      <c r="C8" s="15"/>
      <c r="D8" s="15"/>
      <c r="E8" s="15"/>
      <c r="F8" s="15"/>
      <c r="G8" s="15"/>
    </row>
    <row r="9" spans="2:8" ht="19" x14ac:dyDescent="0.25">
      <c r="B9" s="15"/>
      <c r="C9" s="15"/>
      <c r="D9" s="15"/>
      <c r="E9" s="15"/>
      <c r="F9" s="15"/>
      <c r="G9" s="15"/>
    </row>
    <row r="10" spans="2:8" ht="19" x14ac:dyDescent="0.25">
      <c r="B10" s="10" t="s">
        <v>886</v>
      </c>
      <c r="C10" s="15"/>
      <c r="D10" s="15"/>
      <c r="E10" s="15"/>
      <c r="F10" s="15"/>
      <c r="G10" s="15"/>
    </row>
    <row r="11" spans="2:8" ht="19" x14ac:dyDescent="0.25">
      <c r="B11" s="14" t="s">
        <v>887</v>
      </c>
      <c r="C11" s="15"/>
      <c r="D11" s="30">
        <v>20000</v>
      </c>
      <c r="E11" s="15"/>
      <c r="F11" s="15"/>
      <c r="G11" s="15"/>
    </row>
    <row r="12" spans="2:8" ht="19" x14ac:dyDescent="0.25">
      <c r="B12" s="14" t="s">
        <v>888</v>
      </c>
      <c r="C12" s="15"/>
      <c r="D12" s="30">
        <f>CycleCounts!E14+CycleCounts!E27+CycleCounts!E40+CycleCounts!E53+CycleCounts!E66+CycleCounts!E79+CycleCounts!E92+CycleCounts!E105+CycleCounts!E118+CycleCounts!E131+CycleCounts!E144+CycleCounts!E157+CycleCounts!E170+CycleCounts!E183+CycleCounts!E196+CycleCounts!E209+CycleCounts!E222+CycleCounts!E235+CycleCounts!E248+CycleCounts!E261+CycleCounts!E274+CycleCounts!E287+CycleCounts!E300+CycleCounts!E313+CycleCounts!E326+CycleCounts!E339+CycleCounts!E352+CycleCounts!E365+CycleCounts!E378+CycleCounts!E391</f>
        <v>4541</v>
      </c>
      <c r="E12" s="15"/>
      <c r="F12" s="15"/>
      <c r="G12" s="15"/>
    </row>
    <row r="13" spans="2:8" ht="19" x14ac:dyDescent="0.25">
      <c r="B13" s="14" t="s">
        <v>889</v>
      </c>
      <c r="C13" s="15"/>
      <c r="D13" s="23">
        <f>D12/D11</f>
        <v>0.22705</v>
      </c>
      <c r="E13" s="15"/>
      <c r="F13" s="15"/>
      <c r="G13" s="15"/>
    </row>
    <row r="14" spans="2:8" ht="19" x14ac:dyDescent="0.25">
      <c r="B14" s="24" t="s">
        <v>906</v>
      </c>
      <c r="C14" s="15"/>
      <c r="D14" s="15"/>
      <c r="E14" s="15"/>
      <c r="F14" s="15"/>
      <c r="G14" s="15"/>
    </row>
    <row r="15" spans="2:8" ht="19" x14ac:dyDescent="0.25">
      <c r="B15" s="15"/>
      <c r="C15" s="15"/>
      <c r="D15" s="15"/>
      <c r="E15" s="15"/>
      <c r="F15" s="15"/>
      <c r="G15" s="15"/>
    </row>
    <row r="16" spans="2:8" ht="19" x14ac:dyDescent="0.25">
      <c r="B16" s="10" t="s">
        <v>890</v>
      </c>
      <c r="C16" s="15"/>
      <c r="D16" s="15"/>
      <c r="E16" s="15"/>
      <c r="F16" s="15"/>
      <c r="G16" s="15"/>
    </row>
    <row r="17" spans="2:7" ht="19" x14ac:dyDescent="0.25">
      <c r="B17" s="14" t="s">
        <v>891</v>
      </c>
      <c r="C17" s="15"/>
      <c r="D17" s="13">
        <v>4</v>
      </c>
      <c r="E17" s="15"/>
      <c r="F17" s="15"/>
      <c r="G17" s="15"/>
    </row>
    <row r="18" spans="2:7" ht="19" x14ac:dyDescent="0.25">
      <c r="B18" s="14" t="s">
        <v>892</v>
      </c>
      <c r="C18" s="15"/>
      <c r="D18" s="13">
        <v>16</v>
      </c>
      <c r="E18" s="15"/>
      <c r="F18" s="15"/>
      <c r="G18" s="15"/>
    </row>
    <row r="19" spans="2:7" ht="19" x14ac:dyDescent="0.25">
      <c r="B19" s="14" t="s">
        <v>893</v>
      </c>
      <c r="C19" s="15"/>
      <c r="D19" s="13">
        <v>0.75</v>
      </c>
      <c r="E19" s="15"/>
      <c r="F19" s="15"/>
      <c r="G19" s="15"/>
    </row>
    <row r="20" spans="2:7" ht="19" x14ac:dyDescent="0.25">
      <c r="B20" s="15"/>
      <c r="C20" s="15"/>
      <c r="D20" s="15"/>
      <c r="E20" s="15"/>
      <c r="F20" s="15"/>
      <c r="G20" s="15"/>
    </row>
    <row r="21" spans="2:7" ht="19" x14ac:dyDescent="0.25">
      <c r="B21" s="14" t="s">
        <v>894</v>
      </c>
      <c r="C21" s="15"/>
      <c r="D21" s="30">
        <f>COUNTA(Receiving!B2:B196)+COUNTIFS(Orders!$H$2:$H$598,"Shipped")</f>
        <v>786</v>
      </c>
      <c r="E21" s="15"/>
      <c r="F21" s="15"/>
      <c r="G21" s="15"/>
    </row>
    <row r="22" spans="2:7" ht="19" x14ac:dyDescent="0.25">
      <c r="B22" s="14" t="s">
        <v>895</v>
      </c>
      <c r="C22" s="15"/>
      <c r="D22" s="30">
        <f>D17*D18*7*13</f>
        <v>5824</v>
      </c>
      <c r="E22" s="15"/>
      <c r="F22" s="15"/>
      <c r="G22" s="15"/>
    </row>
    <row r="23" spans="2:7" ht="19" x14ac:dyDescent="0.25">
      <c r="B23" s="14" t="s">
        <v>896</v>
      </c>
      <c r="C23" s="15"/>
      <c r="D23" s="23">
        <f>(D21*D19)/D22</f>
        <v>0.10121909340659341</v>
      </c>
      <c r="E23" s="15"/>
      <c r="F23" s="15"/>
      <c r="G23" s="15"/>
    </row>
    <row r="24" spans="2:7" ht="19" x14ac:dyDescent="0.25">
      <c r="B24" s="24" t="s">
        <v>905</v>
      </c>
      <c r="C24" s="15"/>
      <c r="D24" s="15"/>
      <c r="E24" s="15"/>
      <c r="F24" s="15"/>
      <c r="G24" s="15"/>
    </row>
    <row r="25" spans="2:7" ht="19" x14ac:dyDescent="0.25">
      <c r="B25" s="15"/>
      <c r="C25" s="15"/>
      <c r="D25" s="15"/>
      <c r="E25" s="15"/>
      <c r="F25" s="15"/>
      <c r="G25" s="15"/>
    </row>
    <row r="26" spans="2:7" ht="19" x14ac:dyDescent="0.25">
      <c r="B26" s="10" t="s">
        <v>897</v>
      </c>
      <c r="C26" s="15"/>
      <c r="D26" s="15"/>
      <c r="E26" s="15"/>
      <c r="F26" s="15"/>
      <c r="G26" s="15"/>
    </row>
    <row r="27" spans="2:7" ht="19" x14ac:dyDescent="0.25">
      <c r="B27" s="14" t="s">
        <v>898</v>
      </c>
      <c r="C27" s="15"/>
      <c r="D27" s="31">
        <v>8</v>
      </c>
      <c r="E27" s="15"/>
      <c r="F27" s="15"/>
      <c r="G27" s="15"/>
    </row>
    <row r="28" spans="2:7" ht="19" x14ac:dyDescent="0.25">
      <c r="B28" s="14" t="s">
        <v>899</v>
      </c>
      <c r="C28" s="15"/>
      <c r="D28" s="31">
        <v>0.45</v>
      </c>
      <c r="E28" s="15"/>
      <c r="F28" s="15"/>
      <c r="G28" s="15"/>
    </row>
    <row r="29" spans="2:7" ht="19" x14ac:dyDescent="0.25">
      <c r="B29" s="14" t="s">
        <v>900</v>
      </c>
      <c r="C29" s="15"/>
      <c r="D29" s="15"/>
      <c r="E29" s="15"/>
      <c r="F29" s="15"/>
      <c r="G29" s="15"/>
    </row>
    <row r="30" spans="2:7" ht="19" x14ac:dyDescent="0.25">
      <c r="B30" s="16" t="s">
        <v>85</v>
      </c>
      <c r="C30" s="16" t="s">
        <v>901</v>
      </c>
      <c r="D30" s="15"/>
      <c r="E30" s="15"/>
      <c r="F30" s="15"/>
      <c r="G30" s="15"/>
    </row>
    <row r="31" spans="2:7" ht="19" x14ac:dyDescent="0.25">
      <c r="B31" s="17" t="s">
        <v>908</v>
      </c>
      <c r="C31" s="17">
        <v>8.6</v>
      </c>
      <c r="D31" s="15"/>
      <c r="E31" s="15"/>
      <c r="F31" s="15"/>
      <c r="G31" s="15"/>
    </row>
    <row r="32" spans="2:7" ht="19" x14ac:dyDescent="0.25">
      <c r="B32" s="17" t="s">
        <v>106</v>
      </c>
      <c r="C32" s="17">
        <v>5</v>
      </c>
      <c r="D32" s="15"/>
      <c r="E32" s="15"/>
      <c r="F32" s="15"/>
      <c r="G32" s="15"/>
    </row>
    <row r="33" spans="2:7" ht="19" x14ac:dyDescent="0.25">
      <c r="B33" s="17" t="s">
        <v>115</v>
      </c>
      <c r="C33" s="17">
        <v>2</v>
      </c>
      <c r="D33" s="15"/>
      <c r="E33" s="15"/>
      <c r="F33" s="15"/>
      <c r="G33" s="15"/>
    </row>
    <row r="34" spans="2:7" ht="19" x14ac:dyDescent="0.25">
      <c r="B34" s="17" t="s">
        <v>122</v>
      </c>
      <c r="C34" s="17">
        <v>1</v>
      </c>
      <c r="D34" s="15"/>
      <c r="E34" s="15"/>
      <c r="F34" s="15"/>
      <c r="G34" s="15"/>
    </row>
    <row r="35" spans="2:7" ht="19" x14ac:dyDescent="0.25">
      <c r="B35" s="17" t="s">
        <v>129</v>
      </c>
      <c r="C35" s="17">
        <v>2</v>
      </c>
      <c r="D35" s="15"/>
      <c r="E35" s="15"/>
      <c r="F35" s="15"/>
      <c r="G35" s="15"/>
    </row>
    <row r="36" spans="2:7" ht="19" x14ac:dyDescent="0.25">
      <c r="B36" s="17" t="s">
        <v>138</v>
      </c>
      <c r="C36" s="17">
        <v>0.3</v>
      </c>
      <c r="D36" s="15"/>
      <c r="E36" s="15"/>
      <c r="F36" s="15"/>
      <c r="G36" s="15"/>
    </row>
    <row r="37" spans="2:7" ht="19" x14ac:dyDescent="0.25">
      <c r="B37" s="17" t="s">
        <v>151</v>
      </c>
      <c r="C37" s="17">
        <v>1.5</v>
      </c>
      <c r="D37" s="15"/>
      <c r="E37" s="15"/>
      <c r="F37" s="15"/>
      <c r="G37" s="15"/>
    </row>
    <row r="38" spans="2:7" ht="19" x14ac:dyDescent="0.25">
      <c r="B38" s="17" t="s">
        <v>158</v>
      </c>
      <c r="C38" s="17">
        <v>3</v>
      </c>
      <c r="D38" s="15"/>
      <c r="E38" s="15"/>
      <c r="F38" s="15"/>
      <c r="G38" s="15"/>
    </row>
    <row r="39" spans="2:7" ht="19" x14ac:dyDescent="0.25">
      <c r="B39" s="15"/>
      <c r="C39" s="15"/>
      <c r="D39" s="15"/>
      <c r="E39" s="15"/>
      <c r="F39" s="15"/>
      <c r="G39" s="15"/>
    </row>
    <row r="40" spans="2:7" ht="19" x14ac:dyDescent="0.25">
      <c r="B40" s="14" t="s">
        <v>902</v>
      </c>
      <c r="C40" s="15"/>
      <c r="D40" s="29" t="e">
        <f>SUM(Orders!L2:L598)</f>
        <v>#N/A</v>
      </c>
      <c r="E40" s="15"/>
      <c r="F40" s="15"/>
      <c r="G40" s="15"/>
    </row>
    <row r="41" spans="2:7" ht="19" x14ac:dyDescent="0.25">
      <c r="B41" s="24" t="s">
        <v>904</v>
      </c>
      <c r="C41" s="15"/>
      <c r="D41" s="15"/>
      <c r="E41" s="15"/>
      <c r="F41" s="15"/>
      <c r="G41" s="15"/>
    </row>
    <row r="42" spans="2:7" ht="19" x14ac:dyDescent="0.25">
      <c r="B42" s="15"/>
      <c r="C42" s="15"/>
      <c r="D42" s="15"/>
      <c r="E42" s="15"/>
      <c r="F42" s="15"/>
      <c r="G42" s="15"/>
    </row>
    <row r="43" spans="2:7" ht="19" x14ac:dyDescent="0.25">
      <c r="B43" s="10" t="s">
        <v>790</v>
      </c>
      <c r="C43" s="15"/>
      <c r="D43" s="15"/>
      <c r="E43" s="15"/>
      <c r="F43" s="15"/>
      <c r="G43" s="15"/>
    </row>
    <row r="44" spans="2:7" ht="19" x14ac:dyDescent="0.25">
      <c r="B44" s="14" t="s">
        <v>903</v>
      </c>
      <c r="C44" s="15"/>
      <c r="D44" s="29">
        <f>SUM(LaborLog!M2:M888)</f>
        <v>125383.59999999995</v>
      </c>
      <c r="E44" s="15"/>
      <c r="F44" s="15"/>
      <c r="G44" s="15"/>
    </row>
    <row r="45" spans="2:7" ht="19" x14ac:dyDescent="0.25">
      <c r="B45" s="24" t="s">
        <v>907</v>
      </c>
      <c r="C45" s="15"/>
      <c r="D45" s="15"/>
      <c r="E45" s="15"/>
      <c r="F45" s="15"/>
      <c r="G45" s="15"/>
    </row>
    <row r="46" spans="2:7" ht="19" x14ac:dyDescent="0.25">
      <c r="B46" s="15"/>
      <c r="C46" s="15"/>
      <c r="D46" s="15"/>
      <c r="E46" s="15"/>
      <c r="F46" s="15"/>
      <c r="G46" s="15"/>
    </row>
    <row r="47" spans="2:7" ht="19" x14ac:dyDescent="0.25">
      <c r="B47" s="15"/>
      <c r="C47" s="15"/>
      <c r="D47" s="15"/>
      <c r="E47" s="15"/>
      <c r="F47" s="15"/>
      <c r="G47" s="15"/>
    </row>
    <row r="48" spans="2:7" ht="19" x14ac:dyDescent="0.25">
      <c r="B48" s="15"/>
      <c r="C48" s="15"/>
      <c r="D48" s="15"/>
      <c r="E48" s="15"/>
      <c r="F48" s="15"/>
      <c r="G48" s="15"/>
    </row>
    <row r="49" spans="2:7" ht="19" x14ac:dyDescent="0.25">
      <c r="B49" s="15"/>
      <c r="C49" s="15"/>
      <c r="D49" s="15"/>
      <c r="E49" s="15"/>
      <c r="F49" s="15"/>
      <c r="G49" s="15"/>
    </row>
    <row r="50" spans="2:7" ht="19" x14ac:dyDescent="0.25">
      <c r="B50" s="15"/>
      <c r="C50" s="15"/>
      <c r="D50" s="15"/>
      <c r="E50" s="15"/>
      <c r="F50" s="15"/>
      <c r="G50" s="15"/>
    </row>
    <row r="51" spans="2:7" ht="19" x14ac:dyDescent="0.25">
      <c r="B51" s="15"/>
      <c r="C51" s="15"/>
      <c r="D51" s="15"/>
      <c r="E51" s="15"/>
      <c r="F51" s="15"/>
      <c r="G51" s="15"/>
    </row>
    <row r="52" spans="2:7" ht="19" x14ac:dyDescent="0.25">
      <c r="B52" s="15"/>
      <c r="C52" s="15"/>
      <c r="D52" s="15"/>
      <c r="E52" s="15"/>
      <c r="F52" s="15"/>
      <c r="G52" s="15"/>
    </row>
    <row r="53" spans="2:7" ht="19" x14ac:dyDescent="0.25">
      <c r="B53" s="15"/>
      <c r="C53" s="15"/>
      <c r="D53" s="15"/>
      <c r="E53" s="15"/>
      <c r="F53" s="15"/>
      <c r="G53" s="15"/>
    </row>
    <row r="54" spans="2:7" ht="19" x14ac:dyDescent="0.25">
      <c r="B54" s="15"/>
      <c r="C54" s="15"/>
      <c r="D54" s="15"/>
      <c r="E54" s="15"/>
      <c r="F54" s="15"/>
      <c r="G54" s="15"/>
    </row>
    <row r="55" spans="2:7" ht="19" x14ac:dyDescent="0.25">
      <c r="B55" s="15"/>
      <c r="C55" s="15"/>
      <c r="D55" s="15"/>
      <c r="E55" s="15"/>
      <c r="F55" s="15"/>
      <c r="G55" s="15"/>
    </row>
    <row r="56" spans="2:7" ht="19" x14ac:dyDescent="0.25">
      <c r="B56" s="15"/>
      <c r="C56" s="15"/>
      <c r="D56" s="15"/>
      <c r="E56" s="15"/>
      <c r="F56" s="15"/>
      <c r="G56" s="15"/>
    </row>
    <row r="57" spans="2:7" ht="19" x14ac:dyDescent="0.25">
      <c r="B57" s="15"/>
      <c r="C57" s="15"/>
      <c r="D57" s="15"/>
      <c r="E57" s="15"/>
      <c r="F57" s="15"/>
      <c r="G57" s="15"/>
    </row>
    <row r="58" spans="2:7" ht="19" x14ac:dyDescent="0.25">
      <c r="B58" s="15"/>
      <c r="C58" s="15"/>
      <c r="D58" s="15"/>
      <c r="E58" s="15"/>
      <c r="F58" s="15"/>
      <c r="G58" s="15"/>
    </row>
    <row r="59" spans="2:7" ht="19" x14ac:dyDescent="0.25">
      <c r="B59" s="15"/>
      <c r="C59" s="15"/>
      <c r="D59" s="15"/>
      <c r="E59" s="15"/>
      <c r="F59" s="15"/>
      <c r="G59" s="15"/>
    </row>
    <row r="60" spans="2:7" ht="19" x14ac:dyDescent="0.25">
      <c r="B60" s="15"/>
      <c r="C60" s="15"/>
      <c r="D60" s="15"/>
      <c r="E60" s="15"/>
      <c r="F60" s="15"/>
      <c r="G60" s="15"/>
    </row>
    <row r="61" spans="2:7" ht="19" x14ac:dyDescent="0.25">
      <c r="B61" s="15"/>
      <c r="C61" s="15"/>
      <c r="D61" s="15"/>
      <c r="E61" s="15"/>
      <c r="F61" s="15"/>
      <c r="G61" s="15"/>
    </row>
    <row r="62" spans="2:7" ht="19" x14ac:dyDescent="0.25">
      <c r="B62" s="15"/>
      <c r="C62" s="15"/>
      <c r="D62" s="15"/>
      <c r="E62" s="15"/>
      <c r="F62" s="15"/>
      <c r="G62" s="15"/>
    </row>
    <row r="63" spans="2:7" ht="19" x14ac:dyDescent="0.25">
      <c r="B63" s="15"/>
      <c r="C63" s="15"/>
      <c r="D63" s="15"/>
      <c r="E63" s="15"/>
      <c r="F63" s="15"/>
      <c r="G63" s="15"/>
    </row>
    <row r="64" spans="2:7" ht="19" x14ac:dyDescent="0.25">
      <c r="B64" s="15"/>
      <c r="C64" s="15"/>
      <c r="D64" s="15"/>
      <c r="E64" s="15"/>
      <c r="F64" s="15"/>
      <c r="G64" s="15"/>
    </row>
    <row r="65" spans="2:7" ht="19" x14ac:dyDescent="0.25">
      <c r="B65" s="15"/>
      <c r="C65" s="15"/>
      <c r="D65" s="15"/>
      <c r="E65" s="15"/>
      <c r="F65" s="15"/>
      <c r="G65" s="15"/>
    </row>
    <row r="66" spans="2:7" ht="19" x14ac:dyDescent="0.25">
      <c r="B66" s="15"/>
      <c r="C66" s="15"/>
      <c r="D66" s="15"/>
      <c r="E66" s="15"/>
      <c r="F66" s="15"/>
      <c r="G66" s="15"/>
    </row>
    <row r="67" spans="2:7" ht="19" x14ac:dyDescent="0.25">
      <c r="B67" s="15"/>
      <c r="C67" s="15"/>
      <c r="D67" s="15"/>
      <c r="E67" s="15"/>
      <c r="F67" s="15"/>
      <c r="G67" s="15"/>
    </row>
    <row r="68" spans="2:7" ht="19" x14ac:dyDescent="0.25">
      <c r="B68" s="15"/>
      <c r="C68" s="15"/>
      <c r="D68" s="15"/>
      <c r="E68" s="15"/>
      <c r="F68" s="15"/>
      <c r="G68" s="15"/>
    </row>
    <row r="69" spans="2:7" ht="19" x14ac:dyDescent="0.25">
      <c r="B69" s="15"/>
      <c r="C69" s="15"/>
      <c r="D69" s="15"/>
      <c r="E69" s="15"/>
      <c r="F69" s="15"/>
      <c r="G69" s="15"/>
    </row>
    <row r="70" spans="2:7" ht="19" x14ac:dyDescent="0.25">
      <c r="B70" s="15"/>
      <c r="C70" s="15"/>
      <c r="D70" s="15"/>
      <c r="E70" s="15"/>
      <c r="F70" s="15"/>
      <c r="G70" s="15"/>
    </row>
    <row r="71" spans="2:7" ht="19" x14ac:dyDescent="0.25">
      <c r="B71" s="15"/>
      <c r="C71" s="15"/>
      <c r="D71" s="15"/>
      <c r="E71" s="15"/>
      <c r="F71" s="15"/>
      <c r="G71" s="15"/>
    </row>
    <row r="72" spans="2:7" ht="19" x14ac:dyDescent="0.25">
      <c r="B72" s="15"/>
      <c r="C72" s="15"/>
      <c r="D72" s="15"/>
      <c r="E72" s="15"/>
      <c r="F72" s="15"/>
      <c r="G72" s="15"/>
    </row>
    <row r="73" spans="2:7" ht="19" x14ac:dyDescent="0.25">
      <c r="B73" s="15"/>
      <c r="C73" s="15"/>
      <c r="D73" s="15"/>
      <c r="E73" s="15"/>
      <c r="F73" s="15"/>
      <c r="G73" s="15"/>
    </row>
    <row r="74" spans="2:7" ht="19" x14ac:dyDescent="0.25">
      <c r="B74" s="15"/>
      <c r="C74" s="15"/>
      <c r="D74" s="15"/>
      <c r="E74" s="15"/>
      <c r="F74" s="15"/>
      <c r="G74" s="15"/>
    </row>
    <row r="75" spans="2:7" ht="19" x14ac:dyDescent="0.25">
      <c r="B75" s="15"/>
      <c r="C75" s="15"/>
      <c r="D75" s="15"/>
      <c r="E75" s="15"/>
      <c r="F75" s="15"/>
      <c r="G75" s="15"/>
    </row>
    <row r="76" spans="2:7" ht="19" x14ac:dyDescent="0.25">
      <c r="B76" s="15"/>
      <c r="C76" s="15"/>
      <c r="D76" s="15"/>
      <c r="E76" s="15"/>
      <c r="F76" s="15"/>
      <c r="G76" s="15"/>
    </row>
    <row r="77" spans="2:7" ht="19" x14ac:dyDescent="0.25">
      <c r="B77" s="15"/>
      <c r="C77" s="15"/>
      <c r="D77" s="15"/>
      <c r="E77" s="15"/>
      <c r="F77" s="15"/>
      <c r="G77" s="15"/>
    </row>
    <row r="78" spans="2:7" ht="19" x14ac:dyDescent="0.25">
      <c r="B78" s="15"/>
      <c r="C78" s="15"/>
      <c r="D78" s="15"/>
      <c r="E78" s="15"/>
      <c r="F78" s="15"/>
      <c r="G78" s="15"/>
    </row>
    <row r="79" spans="2:7" ht="19" x14ac:dyDescent="0.25">
      <c r="B79" s="15"/>
      <c r="C79" s="15"/>
      <c r="D79" s="15"/>
      <c r="E79" s="15"/>
      <c r="F79" s="15"/>
      <c r="G79" s="15"/>
    </row>
    <row r="80" spans="2:7" ht="19" x14ac:dyDescent="0.25">
      <c r="B80" s="15"/>
      <c r="C80" s="15"/>
      <c r="D80" s="15"/>
      <c r="E80" s="15"/>
      <c r="F80" s="15"/>
      <c r="G80" s="15"/>
    </row>
    <row r="81" spans="2:7" ht="19" x14ac:dyDescent="0.25">
      <c r="B81" s="15"/>
      <c r="C81" s="15"/>
      <c r="D81" s="15"/>
      <c r="E81" s="15"/>
      <c r="F81" s="15"/>
      <c r="G81" s="15"/>
    </row>
    <row r="82" spans="2:7" ht="19" x14ac:dyDescent="0.25">
      <c r="B82" s="15"/>
      <c r="C82" s="15"/>
      <c r="D82" s="15"/>
      <c r="E82" s="15"/>
      <c r="F82" s="15"/>
      <c r="G82" s="15"/>
    </row>
    <row r="83" spans="2:7" ht="19" x14ac:dyDescent="0.25">
      <c r="B83" s="15"/>
      <c r="C83" s="15"/>
      <c r="D83" s="15"/>
      <c r="E83" s="15"/>
      <c r="F83" s="15"/>
      <c r="G83" s="15"/>
    </row>
    <row r="84" spans="2:7" ht="19" x14ac:dyDescent="0.25">
      <c r="B84" s="15"/>
      <c r="C84" s="15"/>
      <c r="D84" s="15"/>
      <c r="E84" s="15"/>
      <c r="F84" s="15"/>
      <c r="G84" s="15"/>
    </row>
    <row r="85" spans="2:7" ht="19" x14ac:dyDescent="0.25">
      <c r="B85" s="15"/>
      <c r="C85" s="15"/>
      <c r="D85" s="15"/>
      <c r="E85" s="15"/>
      <c r="F85" s="15"/>
      <c r="G85" s="15"/>
    </row>
    <row r="86" spans="2:7" ht="19" x14ac:dyDescent="0.25">
      <c r="B86" s="15"/>
      <c r="C86" s="15"/>
      <c r="D86" s="15"/>
      <c r="E86" s="15"/>
      <c r="F86" s="15"/>
      <c r="G86" s="15"/>
    </row>
    <row r="87" spans="2:7" ht="19" x14ac:dyDescent="0.25">
      <c r="B87" s="15"/>
      <c r="C87" s="15"/>
      <c r="D87" s="15"/>
      <c r="E87" s="15"/>
      <c r="F87" s="15"/>
      <c r="G87" s="15"/>
    </row>
    <row r="88" spans="2:7" ht="19" x14ac:dyDescent="0.25">
      <c r="B88" s="15"/>
      <c r="C88" s="15"/>
      <c r="D88" s="15"/>
      <c r="E88" s="15"/>
      <c r="F88" s="15"/>
      <c r="G88" s="15"/>
    </row>
    <row r="89" spans="2:7" ht="19" x14ac:dyDescent="0.25">
      <c r="B89" s="15"/>
      <c r="C89" s="15"/>
      <c r="D89" s="15"/>
      <c r="E89" s="15"/>
      <c r="F89" s="15"/>
      <c r="G89" s="15"/>
    </row>
    <row r="90" spans="2:7" ht="19" x14ac:dyDescent="0.25">
      <c r="B90" s="15"/>
      <c r="C90" s="15"/>
      <c r="D90" s="15"/>
      <c r="E90" s="15"/>
      <c r="F90" s="15"/>
      <c r="G90" s="15"/>
    </row>
    <row r="91" spans="2:7" ht="19" x14ac:dyDescent="0.25">
      <c r="B91" s="15"/>
      <c r="C91" s="15"/>
      <c r="D91" s="15"/>
      <c r="E91" s="15"/>
      <c r="F91" s="15"/>
      <c r="G91" s="15"/>
    </row>
    <row r="92" spans="2:7" ht="19" x14ac:dyDescent="0.25">
      <c r="B92" s="15"/>
      <c r="C92" s="15"/>
      <c r="D92" s="15"/>
      <c r="E92" s="15"/>
      <c r="F92" s="15"/>
      <c r="G92" s="15"/>
    </row>
    <row r="93" spans="2:7" ht="19" x14ac:dyDescent="0.25">
      <c r="B93" s="15"/>
      <c r="C93" s="15"/>
      <c r="D93" s="15"/>
      <c r="E93" s="15"/>
      <c r="F93" s="15"/>
      <c r="G93" s="15"/>
    </row>
    <row r="94" spans="2:7" ht="19" x14ac:dyDescent="0.25">
      <c r="B94" s="15"/>
      <c r="C94" s="15"/>
      <c r="D94" s="15"/>
      <c r="E94" s="15"/>
      <c r="F94" s="15"/>
      <c r="G94" s="15"/>
    </row>
    <row r="95" spans="2:7" ht="19" x14ac:dyDescent="0.25">
      <c r="B95" s="15"/>
      <c r="C95" s="15"/>
      <c r="D95" s="15"/>
      <c r="E95" s="15"/>
      <c r="F95" s="15"/>
      <c r="G95" s="15"/>
    </row>
    <row r="96" spans="2:7" ht="19" x14ac:dyDescent="0.25">
      <c r="B96" s="15"/>
      <c r="C96" s="15"/>
      <c r="D96" s="15"/>
      <c r="E96" s="15"/>
      <c r="F96" s="15"/>
      <c r="G96" s="15"/>
    </row>
    <row r="97" spans="2:7" ht="19" x14ac:dyDescent="0.25">
      <c r="B97" s="15"/>
      <c r="C97" s="15"/>
      <c r="D97" s="15"/>
      <c r="E97" s="15"/>
      <c r="F97" s="15"/>
      <c r="G97" s="15"/>
    </row>
    <row r="98" spans="2:7" ht="19" x14ac:dyDescent="0.25">
      <c r="B98" s="15"/>
      <c r="C98" s="15"/>
      <c r="D98" s="15"/>
      <c r="E98" s="15"/>
      <c r="F98" s="15"/>
      <c r="G98" s="15"/>
    </row>
    <row r="99" spans="2:7" ht="19" x14ac:dyDescent="0.25">
      <c r="B99" s="15"/>
      <c r="C99" s="15"/>
      <c r="D99" s="15"/>
      <c r="E99" s="15"/>
      <c r="F99" s="15"/>
      <c r="G99" s="15"/>
    </row>
    <row r="100" spans="2:7" ht="19" x14ac:dyDescent="0.25">
      <c r="B100" s="15"/>
      <c r="C100" s="15"/>
      <c r="D100" s="15"/>
      <c r="E100" s="15"/>
      <c r="F100" s="15"/>
      <c r="G100" s="15"/>
    </row>
    <row r="101" spans="2:7" ht="19" x14ac:dyDescent="0.25">
      <c r="B101" s="15"/>
      <c r="C101" s="15"/>
      <c r="D101" s="15"/>
      <c r="E101" s="15"/>
      <c r="F101" s="15"/>
      <c r="G101" s="15"/>
    </row>
    <row r="102" spans="2:7" ht="19" x14ac:dyDescent="0.25">
      <c r="B102" s="15"/>
      <c r="C102" s="15"/>
      <c r="D102" s="15"/>
      <c r="E102" s="15"/>
      <c r="F102" s="15"/>
      <c r="G102" s="15"/>
    </row>
    <row r="103" spans="2:7" ht="19" x14ac:dyDescent="0.25">
      <c r="B103" s="15"/>
      <c r="C103" s="15"/>
      <c r="D103" s="15"/>
      <c r="E103" s="15"/>
      <c r="F103" s="15"/>
      <c r="G103" s="15"/>
    </row>
    <row r="104" spans="2:7" ht="19" x14ac:dyDescent="0.25">
      <c r="B104" s="15"/>
      <c r="C104" s="15"/>
      <c r="D104" s="15"/>
      <c r="E104" s="15"/>
      <c r="F104" s="15"/>
      <c r="G104" s="15"/>
    </row>
    <row r="105" spans="2:7" ht="19" x14ac:dyDescent="0.25">
      <c r="B105" s="15"/>
      <c r="C105" s="15"/>
      <c r="D105" s="15"/>
      <c r="E105" s="15"/>
      <c r="F105" s="15"/>
      <c r="G105" s="15"/>
    </row>
    <row r="106" spans="2:7" ht="19" x14ac:dyDescent="0.25">
      <c r="B106" s="15"/>
      <c r="C106" s="15"/>
      <c r="D106" s="15"/>
      <c r="E106" s="15"/>
      <c r="F106" s="15"/>
      <c r="G106" s="15"/>
    </row>
    <row r="107" spans="2:7" ht="19" x14ac:dyDescent="0.25">
      <c r="B107" s="15"/>
      <c r="C107" s="15"/>
      <c r="D107" s="15"/>
      <c r="E107" s="15"/>
      <c r="F107" s="15"/>
      <c r="G107" s="15"/>
    </row>
    <row r="108" spans="2:7" ht="19" x14ac:dyDescent="0.25">
      <c r="B108" s="15"/>
      <c r="C108" s="15"/>
      <c r="D108" s="15"/>
      <c r="E108" s="15"/>
      <c r="F108" s="15"/>
      <c r="G108" s="15"/>
    </row>
    <row r="109" spans="2:7" ht="19" x14ac:dyDescent="0.25">
      <c r="B109" s="15"/>
      <c r="C109" s="15"/>
      <c r="D109" s="15"/>
      <c r="E109" s="15"/>
      <c r="F109" s="15"/>
      <c r="G109" s="15"/>
    </row>
    <row r="110" spans="2:7" ht="19" x14ac:dyDescent="0.25">
      <c r="B110" s="15"/>
      <c r="C110" s="15"/>
      <c r="D110" s="15"/>
      <c r="E110" s="15"/>
      <c r="F110" s="15"/>
      <c r="G110" s="15"/>
    </row>
    <row r="111" spans="2:7" ht="19" x14ac:dyDescent="0.25">
      <c r="B111" s="15"/>
      <c r="C111" s="15"/>
      <c r="D111" s="15"/>
      <c r="E111" s="15"/>
      <c r="F111" s="15"/>
      <c r="G111" s="15"/>
    </row>
    <row r="112" spans="2:7" ht="19" x14ac:dyDescent="0.25">
      <c r="B112" s="15"/>
      <c r="C112" s="15"/>
      <c r="D112" s="15"/>
      <c r="E112" s="15"/>
      <c r="F112" s="15"/>
      <c r="G112" s="15"/>
    </row>
    <row r="113" spans="2:7" ht="19" x14ac:dyDescent="0.25">
      <c r="B113" s="15"/>
      <c r="C113" s="15"/>
      <c r="D113" s="15"/>
      <c r="E113" s="15"/>
      <c r="F113" s="15"/>
      <c r="G113" s="15"/>
    </row>
    <row r="114" spans="2:7" ht="19" x14ac:dyDescent="0.25">
      <c r="B114" s="15"/>
      <c r="C114" s="15"/>
      <c r="D114" s="15"/>
      <c r="E114" s="15"/>
      <c r="F114" s="15"/>
      <c r="G114" s="15"/>
    </row>
    <row r="115" spans="2:7" ht="19" x14ac:dyDescent="0.25">
      <c r="B115" s="15"/>
      <c r="C115" s="15"/>
      <c r="D115" s="15"/>
      <c r="E115" s="15"/>
      <c r="F115" s="15"/>
      <c r="G115" s="15"/>
    </row>
    <row r="116" spans="2:7" ht="19" x14ac:dyDescent="0.25">
      <c r="B116" s="15"/>
      <c r="C116" s="15"/>
      <c r="D116" s="15"/>
      <c r="E116" s="15"/>
      <c r="F116" s="15"/>
      <c r="G116" s="15"/>
    </row>
    <row r="117" spans="2:7" ht="19" x14ac:dyDescent="0.25">
      <c r="B117" s="15"/>
      <c r="C117" s="15"/>
      <c r="D117" s="15"/>
      <c r="E117" s="15"/>
      <c r="F117" s="15"/>
      <c r="G117" s="15"/>
    </row>
    <row r="118" spans="2:7" ht="19" x14ac:dyDescent="0.25">
      <c r="B118" s="15"/>
      <c r="C118" s="15"/>
      <c r="D118" s="15"/>
      <c r="E118" s="15"/>
      <c r="F118" s="15"/>
      <c r="G118" s="15"/>
    </row>
    <row r="119" spans="2:7" ht="19" x14ac:dyDescent="0.25">
      <c r="B119" s="15"/>
      <c r="C119" s="15"/>
      <c r="D119" s="15"/>
      <c r="E119" s="15"/>
      <c r="F119" s="15"/>
      <c r="G119" s="15"/>
    </row>
    <row r="120" spans="2:7" ht="19" x14ac:dyDescent="0.25">
      <c r="B120" s="15"/>
      <c r="C120" s="15"/>
      <c r="D120" s="15"/>
      <c r="E120" s="15"/>
      <c r="F120" s="15"/>
      <c r="G120" s="15"/>
    </row>
    <row r="121" spans="2:7" ht="19" x14ac:dyDescent="0.25">
      <c r="B121" s="15"/>
      <c r="C121" s="15"/>
      <c r="D121" s="15"/>
      <c r="E121" s="15"/>
      <c r="F121" s="15"/>
      <c r="G121" s="15"/>
    </row>
    <row r="122" spans="2:7" ht="19" x14ac:dyDescent="0.25">
      <c r="B122" s="15"/>
      <c r="C122" s="15"/>
      <c r="D122" s="15"/>
      <c r="E122" s="15"/>
      <c r="F122" s="15"/>
      <c r="G122" s="15"/>
    </row>
    <row r="123" spans="2:7" ht="19" x14ac:dyDescent="0.25">
      <c r="B123" s="15"/>
      <c r="C123" s="15"/>
      <c r="D123" s="15"/>
      <c r="E123" s="15"/>
      <c r="F123" s="15"/>
      <c r="G123" s="15"/>
    </row>
    <row r="124" spans="2:7" ht="19" x14ac:dyDescent="0.25">
      <c r="B124" s="15"/>
      <c r="C124" s="15"/>
      <c r="D124" s="15"/>
      <c r="E124" s="15"/>
      <c r="F124" s="15"/>
      <c r="G124" s="15"/>
    </row>
    <row r="125" spans="2:7" ht="19" x14ac:dyDescent="0.25">
      <c r="B125" s="15"/>
      <c r="C125" s="15"/>
      <c r="D125" s="15"/>
      <c r="E125" s="15"/>
      <c r="F125" s="15"/>
      <c r="G125" s="15"/>
    </row>
    <row r="126" spans="2:7" ht="19" x14ac:dyDescent="0.25">
      <c r="B126" s="15"/>
      <c r="C126" s="15"/>
      <c r="D126" s="15"/>
      <c r="E126" s="15"/>
      <c r="F126" s="15"/>
      <c r="G126" s="15"/>
    </row>
    <row r="127" spans="2:7" ht="19" x14ac:dyDescent="0.25">
      <c r="B127" s="15"/>
      <c r="C127" s="15"/>
      <c r="D127" s="15"/>
      <c r="E127" s="15"/>
      <c r="F127" s="15"/>
      <c r="G127" s="15"/>
    </row>
    <row r="128" spans="2:7" ht="19" x14ac:dyDescent="0.25">
      <c r="B128" s="15"/>
      <c r="C128" s="15"/>
      <c r="D128" s="15"/>
      <c r="E128" s="15"/>
      <c r="F128" s="15"/>
      <c r="G128" s="15"/>
    </row>
    <row r="129" spans="2:7" ht="19" x14ac:dyDescent="0.25">
      <c r="B129" s="15"/>
      <c r="C129" s="15"/>
      <c r="D129" s="15"/>
      <c r="E129" s="15"/>
      <c r="F129" s="15"/>
      <c r="G129" s="15"/>
    </row>
    <row r="130" spans="2:7" ht="19" x14ac:dyDescent="0.25">
      <c r="B130" s="15"/>
      <c r="C130" s="15"/>
      <c r="D130" s="15"/>
      <c r="E130" s="15"/>
      <c r="F130" s="15"/>
      <c r="G130" s="15"/>
    </row>
  </sheetData>
  <hyperlinks>
    <hyperlink ref="H2" location="'Executive Summary'!A1" display="← Back to Executive Summary" xr:uid="{00000000-0004-0000-0F00-000000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6"/>
  <sheetViews>
    <sheetView showGridLines="0" zoomScaleNormal="100" workbookViewId="0">
      <selection activeCell="E10" sqref="E10"/>
    </sheetView>
  </sheetViews>
  <sheetFormatPr baseColWidth="10" defaultColWidth="8.6640625" defaultRowHeight="15" x14ac:dyDescent="0.2"/>
  <cols>
    <col min="1" max="1" width="3" customWidth="1"/>
    <col min="2" max="2" width="100" customWidth="1"/>
  </cols>
  <sheetData>
    <row r="2" spans="2:2" ht="18" x14ac:dyDescent="0.2">
      <c r="B2" s="10" t="s">
        <v>28</v>
      </c>
    </row>
    <row r="3" spans="2:2" ht="18" x14ac:dyDescent="0.2">
      <c r="B3" s="11" t="s">
        <v>29</v>
      </c>
    </row>
    <row r="4" spans="2:2" ht="18" x14ac:dyDescent="0.2">
      <c r="B4" s="12"/>
    </row>
    <row r="5" spans="2:2" ht="18" x14ac:dyDescent="0.2">
      <c r="B5" s="10" t="s">
        <v>30</v>
      </c>
    </row>
    <row r="6" spans="2:2" ht="18" x14ac:dyDescent="0.2">
      <c r="B6" s="13" t="s">
        <v>31</v>
      </c>
    </row>
    <row r="7" spans="2:2" ht="18" x14ac:dyDescent="0.2">
      <c r="B7" s="13" t="s">
        <v>32</v>
      </c>
    </row>
    <row r="8" spans="2:2" ht="18" x14ac:dyDescent="0.2">
      <c r="B8" s="13" t="s">
        <v>33</v>
      </c>
    </row>
    <row r="9" spans="2:2" ht="18" x14ac:dyDescent="0.2">
      <c r="B9" s="12"/>
    </row>
    <row r="10" spans="2:2" ht="18" x14ac:dyDescent="0.2">
      <c r="B10" s="10" t="s">
        <v>34</v>
      </c>
    </row>
    <row r="11" spans="2:2" ht="18" x14ac:dyDescent="0.2">
      <c r="B11" s="13" t="s">
        <v>35</v>
      </c>
    </row>
    <row r="12" spans="2:2" ht="18" x14ac:dyDescent="0.2">
      <c r="B12" s="13" t="s">
        <v>36</v>
      </c>
    </row>
    <row r="13" spans="2:2" ht="18" x14ac:dyDescent="0.2">
      <c r="B13" s="13" t="s">
        <v>37</v>
      </c>
    </row>
    <row r="14" spans="2:2" ht="18" x14ac:dyDescent="0.2">
      <c r="B14" s="13" t="s">
        <v>38</v>
      </c>
    </row>
    <row r="15" spans="2:2" ht="18" x14ac:dyDescent="0.2">
      <c r="B15" s="13" t="s">
        <v>39</v>
      </c>
    </row>
    <row r="16" spans="2:2" ht="18" x14ac:dyDescent="0.2">
      <c r="B16" s="13" t="s">
        <v>40</v>
      </c>
    </row>
    <row r="17" spans="2:2" ht="18" x14ac:dyDescent="0.2">
      <c r="B17" s="13" t="s">
        <v>41</v>
      </c>
    </row>
    <row r="18" spans="2:2" ht="18" x14ac:dyDescent="0.2">
      <c r="B18" s="12"/>
    </row>
    <row r="19" spans="2:2" ht="18" x14ac:dyDescent="0.2">
      <c r="B19" s="10" t="s">
        <v>42</v>
      </c>
    </row>
    <row r="20" spans="2:2" ht="18" x14ac:dyDescent="0.2">
      <c r="B20" s="13" t="s">
        <v>43</v>
      </c>
    </row>
    <row r="21" spans="2:2" ht="18" x14ac:dyDescent="0.2">
      <c r="B21" s="13" t="s">
        <v>44</v>
      </c>
    </row>
    <row r="22" spans="2:2" ht="18" x14ac:dyDescent="0.2">
      <c r="B22" s="13" t="s">
        <v>45</v>
      </c>
    </row>
    <row r="23" spans="2:2" ht="18" x14ac:dyDescent="0.2">
      <c r="B23" s="13" t="s">
        <v>46</v>
      </c>
    </row>
    <row r="24" spans="2:2" ht="18" x14ac:dyDescent="0.2">
      <c r="B24" s="13" t="s">
        <v>47</v>
      </c>
    </row>
    <row r="25" spans="2:2" ht="18" x14ac:dyDescent="0.2">
      <c r="B25" s="13" t="s">
        <v>48</v>
      </c>
    </row>
    <row r="26" spans="2:2" ht="18" x14ac:dyDescent="0.2">
      <c r="B26" s="13" t="s">
        <v>49</v>
      </c>
    </row>
    <row r="27" spans="2:2" ht="18" x14ac:dyDescent="0.2">
      <c r="B27" s="13" t="s">
        <v>50</v>
      </c>
    </row>
    <row r="28" spans="2:2" ht="18" x14ac:dyDescent="0.2">
      <c r="B28" s="12"/>
    </row>
    <row r="29" spans="2:2" ht="18" x14ac:dyDescent="0.2">
      <c r="B29" s="10" t="s">
        <v>51</v>
      </c>
    </row>
    <row r="30" spans="2:2" ht="18" x14ac:dyDescent="0.2">
      <c r="B30" s="13" t="s">
        <v>52</v>
      </c>
    </row>
    <row r="31" spans="2:2" ht="18" x14ac:dyDescent="0.2">
      <c r="B31" s="13" t="s">
        <v>53</v>
      </c>
    </row>
    <row r="32" spans="2:2" ht="18" x14ac:dyDescent="0.2">
      <c r="B32" s="13" t="s">
        <v>54</v>
      </c>
    </row>
    <row r="33" spans="2:2" ht="18" x14ac:dyDescent="0.2">
      <c r="B33" s="13" t="s">
        <v>55</v>
      </c>
    </row>
    <row r="34" spans="2:2" ht="18" x14ac:dyDescent="0.2">
      <c r="B34" s="13" t="s">
        <v>56</v>
      </c>
    </row>
    <row r="35" spans="2:2" ht="18" x14ac:dyDescent="0.2">
      <c r="B35" s="13" t="s">
        <v>57</v>
      </c>
    </row>
    <row r="36" spans="2:2" ht="18" x14ac:dyDescent="0.2">
      <c r="B36" s="13" t="s">
        <v>58</v>
      </c>
    </row>
    <row r="37" spans="2:2" ht="18" x14ac:dyDescent="0.2">
      <c r="B37" s="13" t="s">
        <v>59</v>
      </c>
    </row>
    <row r="38" spans="2:2" ht="18" x14ac:dyDescent="0.2">
      <c r="B38" s="13" t="s">
        <v>60</v>
      </c>
    </row>
    <row r="39" spans="2:2" ht="18" x14ac:dyDescent="0.2">
      <c r="B39" s="13" t="s">
        <v>61</v>
      </c>
    </row>
    <row r="40" spans="2:2" ht="18" x14ac:dyDescent="0.2">
      <c r="B40" s="13" t="s">
        <v>62</v>
      </c>
    </row>
    <row r="41" spans="2:2" ht="18" x14ac:dyDescent="0.2">
      <c r="B41" s="13" t="s">
        <v>63</v>
      </c>
    </row>
    <row r="42" spans="2:2" ht="18" x14ac:dyDescent="0.2">
      <c r="B42" s="13" t="s">
        <v>64</v>
      </c>
    </row>
    <row r="43" spans="2:2" ht="18" x14ac:dyDescent="0.2">
      <c r="B43" s="13" t="s">
        <v>65</v>
      </c>
    </row>
    <row r="44" spans="2:2" ht="18" x14ac:dyDescent="0.2">
      <c r="B44" s="13" t="s">
        <v>66</v>
      </c>
    </row>
    <row r="45" spans="2:2" ht="18" x14ac:dyDescent="0.2">
      <c r="B45" s="12"/>
    </row>
    <row r="46" spans="2:2" ht="18" x14ac:dyDescent="0.2">
      <c r="B46" s="10" t="s">
        <v>67</v>
      </c>
    </row>
    <row r="47" spans="2:2" ht="18" x14ac:dyDescent="0.2">
      <c r="B47" s="13" t="s">
        <v>68</v>
      </c>
    </row>
    <row r="48" spans="2:2" ht="18" x14ac:dyDescent="0.2">
      <c r="B48" s="13" t="s">
        <v>69</v>
      </c>
    </row>
    <row r="49" spans="2:2" ht="18" x14ac:dyDescent="0.2">
      <c r="B49" s="13" t="s">
        <v>70</v>
      </c>
    </row>
    <row r="50" spans="2:2" ht="18" x14ac:dyDescent="0.2">
      <c r="B50" s="13" t="s">
        <v>71</v>
      </c>
    </row>
    <row r="51" spans="2:2" ht="18" x14ac:dyDescent="0.2">
      <c r="B51" s="12"/>
    </row>
    <row r="52" spans="2:2" ht="18" x14ac:dyDescent="0.2">
      <c r="B52" s="10" t="s">
        <v>72</v>
      </c>
    </row>
    <row r="53" spans="2:2" ht="18" x14ac:dyDescent="0.2">
      <c r="B53" s="13" t="s">
        <v>73</v>
      </c>
    </row>
    <row r="54" spans="2:2" ht="18" x14ac:dyDescent="0.2">
      <c r="B54" s="13" t="s">
        <v>74</v>
      </c>
    </row>
    <row r="55" spans="2:2" ht="18" x14ac:dyDescent="0.2">
      <c r="B55" s="13" t="s">
        <v>75</v>
      </c>
    </row>
    <row r="56" spans="2:2" ht="18" x14ac:dyDescent="0.2">
      <c r="B56" s="13" t="s">
        <v>76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56"/>
  <sheetViews>
    <sheetView showGridLines="0" topLeftCell="B2" zoomScale="75" zoomScaleNormal="100" workbookViewId="0">
      <selection activeCell="D2" sqref="D2"/>
    </sheetView>
  </sheetViews>
  <sheetFormatPr baseColWidth="10" defaultColWidth="8.6640625" defaultRowHeight="15" x14ac:dyDescent="0.2"/>
  <cols>
    <col min="1" max="1" width="3" customWidth="1"/>
    <col min="2" max="7" width="27" customWidth="1"/>
    <col min="8" max="8" width="31.5" customWidth="1"/>
    <col min="9" max="13" width="27" customWidth="1"/>
  </cols>
  <sheetData>
    <row r="2" spans="2:16" ht="20" x14ac:dyDescent="0.2">
      <c r="B2" s="1" t="s">
        <v>77</v>
      </c>
      <c r="H2" s="5" t="s">
        <v>78</v>
      </c>
    </row>
    <row r="3" spans="2:16" x14ac:dyDescent="0.2">
      <c r="B3" s="2"/>
    </row>
    <row r="5" spans="2:16" ht="19" x14ac:dyDescent="0.25">
      <c r="B5" s="14" t="s">
        <v>79</v>
      </c>
      <c r="C5" s="15"/>
      <c r="F5" s="14" t="s">
        <v>80</v>
      </c>
      <c r="G5" s="15"/>
      <c r="J5" s="14" t="s">
        <v>81</v>
      </c>
      <c r="K5" s="15"/>
      <c r="L5" s="15"/>
      <c r="N5" s="14" t="s">
        <v>82</v>
      </c>
      <c r="O5" s="15"/>
      <c r="P5" s="15"/>
    </row>
    <row r="6" spans="2:16" ht="23" x14ac:dyDescent="0.25">
      <c r="B6" s="6">
        <f>COUNTIF(G10:G39,"Below Reorder")</f>
        <v>3</v>
      </c>
      <c r="F6" s="7">
        <f>1-(COUNTIFS(CycleCounts!$F$2:$F$391,"&lt;&gt;0")/COUNTA(CycleCounts!B2:B391))</f>
        <v>0.88717948717948714</v>
      </c>
      <c r="J6" s="8">
        <f>SUM(Orders!D2:D598)</f>
        <v>6048</v>
      </c>
      <c r="N6" s="8">
        <f>SUM(Returns!E2:E41)</f>
        <v>237</v>
      </c>
    </row>
    <row r="9" spans="2:16" ht="18" x14ac:dyDescent="0.2">
      <c r="B9" s="16" t="s">
        <v>83</v>
      </c>
      <c r="C9" s="16" t="s">
        <v>84</v>
      </c>
      <c r="D9" s="16" t="s">
        <v>85</v>
      </c>
      <c r="E9" s="16" t="s">
        <v>86</v>
      </c>
      <c r="F9" s="16" t="s">
        <v>87</v>
      </c>
      <c r="G9" s="16" t="s">
        <v>88</v>
      </c>
      <c r="H9" s="16" t="s">
        <v>89</v>
      </c>
      <c r="I9" s="16" t="s">
        <v>90</v>
      </c>
      <c r="J9" s="16" t="s">
        <v>91</v>
      </c>
      <c r="K9" s="16" t="s">
        <v>92</v>
      </c>
      <c r="L9" s="16" t="s">
        <v>93</v>
      </c>
      <c r="M9" s="16" t="s">
        <v>94</v>
      </c>
    </row>
    <row r="10" spans="2:16" ht="18" x14ac:dyDescent="0.2">
      <c r="B10" s="17" t="s">
        <v>95</v>
      </c>
      <c r="C10" s="17" t="s">
        <v>96</v>
      </c>
      <c r="D10" s="17" t="s">
        <v>97</v>
      </c>
      <c r="E10" s="18">
        <f>CycleCounts!D14</f>
        <v>449</v>
      </c>
      <c r="F10" s="18">
        <f>Products!E2</f>
        <v>120</v>
      </c>
      <c r="G10" s="17" t="str">
        <f t="shared" ref="G10:G39" si="0">IF(E10&lt;=F10,"Below Reorder","OK")</f>
        <v>OK</v>
      </c>
      <c r="H10" s="19">
        <f>1-COUNTIFS(CycleCounts!$B$2:$B$391,B10,CycleCounts!$F$2:$F$391,"&lt;&gt;0")/COUNTIF(CycleCounts!$B$2:$B$391,B10)</f>
        <v>0.92307692307692313</v>
      </c>
      <c r="I10" s="18">
        <f>SUMIFS(Receiving!$H$2:$H$196,Receiving!$D$2:$D$196,B10)</f>
        <v>806</v>
      </c>
      <c r="J10" s="19">
        <f>IFERROR(AVERAGEIFS(Receiving!$M$2:$M$196,Receiving!$D$2:$D$196,B10),"N/A")</f>
        <v>1</v>
      </c>
      <c r="K10" s="18">
        <f>SUMIFS(Orders!$D$2:$D$598,Orders!$C$2:$C$598,B10)</f>
        <v>443</v>
      </c>
      <c r="L10" s="18">
        <f>SUMIFS(Returns!$E$2:$E$41,Returns!$F$2:$F$41,B10)</f>
        <v>3</v>
      </c>
      <c r="M10" s="19">
        <f t="shared" ref="M10:M39" si="1">IF(K10=0,0,L10/K10)</f>
        <v>6.7720090293453723E-3</v>
      </c>
    </row>
    <row r="11" spans="2:16" ht="18" x14ac:dyDescent="0.2">
      <c r="B11" s="17" t="s">
        <v>98</v>
      </c>
      <c r="C11" s="17" t="s">
        <v>99</v>
      </c>
      <c r="D11" s="17" t="s">
        <v>97</v>
      </c>
      <c r="E11" s="18">
        <f>CycleCounts!D27</f>
        <v>275</v>
      </c>
      <c r="F11" s="18">
        <f>Products!E3</f>
        <v>130</v>
      </c>
      <c r="G11" s="17" t="str">
        <f t="shared" si="0"/>
        <v>OK</v>
      </c>
      <c r="H11" s="19">
        <f>1-COUNTIFS(CycleCounts!$B$2:$B$391,B11,CycleCounts!$F$2:$F$391,"&lt;&gt;0")/COUNTIF(CycleCounts!$B$2:$B$391,B11)</f>
        <v>1</v>
      </c>
      <c r="I11" s="18">
        <f>SUMIFS(Receiving!$H$2:$H$196,Receiving!$D$2:$D$196,B11)</f>
        <v>1169</v>
      </c>
      <c r="J11" s="19">
        <f>IFERROR(AVERAGEIFS(Receiving!$M$2:$M$196,Receiving!$D$2:$D$196,B11),"N/A")</f>
        <v>0.77777777777777779</v>
      </c>
      <c r="K11" s="18">
        <f>SUMIFS(Orders!$D$2:$D$598,Orders!$C$2:$C$598,B11)</f>
        <v>338</v>
      </c>
      <c r="L11" s="18">
        <f>SUMIFS(Returns!$E$2:$E$41,Returns!$F$2:$F$41,B11)</f>
        <v>25</v>
      </c>
      <c r="M11" s="19">
        <f t="shared" si="1"/>
        <v>7.3964497041420121E-2</v>
      </c>
    </row>
    <row r="12" spans="2:16" ht="18" x14ac:dyDescent="0.2">
      <c r="B12" s="17" t="s">
        <v>100</v>
      </c>
      <c r="C12" s="17" t="s">
        <v>101</v>
      </c>
      <c r="D12" s="17" t="s">
        <v>97</v>
      </c>
      <c r="E12" s="18">
        <f>CycleCounts!D40</f>
        <v>238</v>
      </c>
      <c r="F12" s="18">
        <f>Products!E4</f>
        <v>100</v>
      </c>
      <c r="G12" s="17" t="str">
        <f t="shared" si="0"/>
        <v>OK</v>
      </c>
      <c r="H12" s="19">
        <f>1-COUNTIFS(CycleCounts!$B$2:$B$391,B12,CycleCounts!$F$2:$F$391,"&lt;&gt;0")/COUNTIF(CycleCounts!$B$2:$B$391,B12)</f>
        <v>1</v>
      </c>
      <c r="I12" s="18">
        <f>SUMIFS(Receiving!$H$2:$H$196,Receiving!$D$2:$D$196,B12)</f>
        <v>561</v>
      </c>
      <c r="J12" s="19">
        <f>IFERROR(AVERAGEIFS(Receiving!$M$2:$M$196,Receiving!$D$2:$D$196,B12),"N/A")</f>
        <v>1</v>
      </c>
      <c r="K12" s="18">
        <f>SUMIFS(Orders!$D$2:$D$598,Orders!$C$2:$C$598,B12)</f>
        <v>284</v>
      </c>
      <c r="L12" s="18">
        <f>SUMIFS(Returns!$E$2:$E$41,Returns!$F$2:$F$41,B12)</f>
        <v>8</v>
      </c>
      <c r="M12" s="19">
        <f t="shared" si="1"/>
        <v>2.8169014084507043E-2</v>
      </c>
    </row>
    <row r="13" spans="2:16" ht="18" x14ac:dyDescent="0.2">
      <c r="B13" s="17" t="s">
        <v>102</v>
      </c>
      <c r="C13" s="17" t="s">
        <v>103</v>
      </c>
      <c r="D13" s="17" t="s">
        <v>97</v>
      </c>
      <c r="E13" s="18">
        <f>CycleCounts!D53</f>
        <v>180</v>
      </c>
      <c r="F13" s="18">
        <f>Products!E5</f>
        <v>60</v>
      </c>
      <c r="G13" s="17" t="str">
        <f t="shared" si="0"/>
        <v>OK</v>
      </c>
      <c r="H13" s="19">
        <f>1-COUNTIFS(CycleCounts!$B$2:$B$391,B13,CycleCounts!$F$2:$F$391,"&lt;&gt;0")/COUNTIF(CycleCounts!$B$2:$B$391,B13)</f>
        <v>0.84615384615384615</v>
      </c>
      <c r="I13" s="18">
        <f>SUMIFS(Receiving!$H$2:$H$196,Receiving!$D$2:$D$196,B13)</f>
        <v>279</v>
      </c>
      <c r="J13" s="19">
        <f>IFERROR(AVERAGEIFS(Receiving!$M$2:$M$196,Receiving!$D$2:$D$196,B13),"N/A")</f>
        <v>0.75</v>
      </c>
      <c r="K13" s="18">
        <f>SUMIFS(Orders!$D$2:$D$598,Orders!$C$2:$C$598,B13)</f>
        <v>267</v>
      </c>
      <c r="L13" s="18">
        <f>SUMIFS(Returns!$E$2:$E$41,Returns!$F$2:$F$41,B13)</f>
        <v>18</v>
      </c>
      <c r="M13" s="19">
        <f t="shared" si="1"/>
        <v>6.741573033707865E-2</v>
      </c>
    </row>
    <row r="14" spans="2:16" ht="18" x14ac:dyDescent="0.2">
      <c r="B14" s="17" t="s">
        <v>104</v>
      </c>
      <c r="C14" s="17" t="s">
        <v>105</v>
      </c>
      <c r="D14" s="17" t="s">
        <v>106</v>
      </c>
      <c r="E14" s="18">
        <f>CycleCounts!D66</f>
        <v>115</v>
      </c>
      <c r="F14" s="18">
        <f>Products!E6</f>
        <v>40</v>
      </c>
      <c r="G14" s="17" t="str">
        <f t="shared" si="0"/>
        <v>OK</v>
      </c>
      <c r="H14" s="19">
        <f>1-COUNTIFS(CycleCounts!$B$2:$B$391,B14,CycleCounts!$F$2:$F$391,"&lt;&gt;0")/COUNTIF(CycleCounts!$B$2:$B$391,B14)</f>
        <v>0.92307692307692313</v>
      </c>
      <c r="I14" s="18">
        <f>SUMIFS(Receiving!$H$2:$H$196,Receiving!$D$2:$D$196,B14)</f>
        <v>808</v>
      </c>
      <c r="J14" s="19">
        <f>IFERROR(AVERAGEIFS(Receiving!$M$2:$M$196,Receiving!$D$2:$D$196,B14),"N/A")</f>
        <v>1</v>
      </c>
      <c r="K14" s="18">
        <f>SUMIFS(Orders!$D$2:$D$598,Orders!$C$2:$C$598,B14)</f>
        <v>127</v>
      </c>
      <c r="L14" s="18">
        <f>SUMIFS(Returns!$E$2:$E$41,Returns!$F$2:$F$41,B14)</f>
        <v>0</v>
      </c>
      <c r="M14" s="19">
        <f t="shared" si="1"/>
        <v>0</v>
      </c>
    </row>
    <row r="15" spans="2:16" ht="18" x14ac:dyDescent="0.2">
      <c r="B15" s="17" t="s">
        <v>107</v>
      </c>
      <c r="C15" s="17" t="s">
        <v>108</v>
      </c>
      <c r="D15" s="17" t="s">
        <v>106</v>
      </c>
      <c r="E15" s="18">
        <f>CycleCounts!D79</f>
        <v>20</v>
      </c>
      <c r="F15" s="18">
        <f>Products!E7</f>
        <v>35</v>
      </c>
      <c r="G15" s="17" t="str">
        <f t="shared" si="0"/>
        <v>Below Reorder</v>
      </c>
      <c r="H15" s="19">
        <f>1-COUNTIFS(CycleCounts!$B$2:$B$391,B15,CycleCounts!$F$2:$F$391,"&lt;&gt;0")/COUNTIF(CycleCounts!$B$2:$B$391,B15)</f>
        <v>1</v>
      </c>
      <c r="I15" s="18">
        <f>SUMIFS(Receiving!$H$2:$H$196,Receiving!$D$2:$D$196,B15)</f>
        <v>940</v>
      </c>
      <c r="J15" s="19">
        <f>IFERROR(AVERAGEIFS(Receiving!$M$2:$M$196,Receiving!$D$2:$D$196,B15),"N/A")</f>
        <v>0.83333333333333337</v>
      </c>
      <c r="K15" s="18">
        <f>SUMIFS(Orders!$D$2:$D$598,Orders!$C$2:$C$598,B15)</f>
        <v>105</v>
      </c>
      <c r="L15" s="18">
        <f>SUMIFS(Returns!$E$2:$E$41,Returns!$F$2:$F$41,B15)</f>
        <v>4</v>
      </c>
      <c r="M15" s="19">
        <f t="shared" si="1"/>
        <v>3.8095238095238099E-2</v>
      </c>
    </row>
    <row r="16" spans="2:16" ht="18" x14ac:dyDescent="0.2">
      <c r="B16" s="17" t="s">
        <v>109</v>
      </c>
      <c r="C16" s="17" t="s">
        <v>110</v>
      </c>
      <c r="D16" s="17" t="s">
        <v>106</v>
      </c>
      <c r="E16" s="18">
        <f>CycleCounts!D92</f>
        <v>16</v>
      </c>
      <c r="F16" s="18">
        <f>Products!E8</f>
        <v>20</v>
      </c>
      <c r="G16" s="17" t="str">
        <f t="shared" si="0"/>
        <v>Below Reorder</v>
      </c>
      <c r="H16" s="19">
        <f>1-COUNTIFS(CycleCounts!$B$2:$B$391,B16,CycleCounts!$F$2:$F$391,"&lt;&gt;0")/COUNTIF(CycleCounts!$B$2:$B$391,B16)</f>
        <v>0.92307692307692313</v>
      </c>
      <c r="I16" s="18">
        <f>SUMIFS(Receiving!$H$2:$H$196,Receiving!$D$2:$D$196,B16)</f>
        <v>447</v>
      </c>
      <c r="J16" s="19">
        <f>IFERROR(AVERAGEIFS(Receiving!$M$2:$M$196,Receiving!$D$2:$D$196,B16),"N/A")</f>
        <v>0.8</v>
      </c>
      <c r="K16" s="18">
        <f>SUMIFS(Orders!$D$2:$D$598,Orders!$C$2:$C$598,B16)</f>
        <v>70</v>
      </c>
      <c r="L16" s="18">
        <f>SUMIFS(Returns!$E$2:$E$41,Returns!$F$2:$F$41,B16)</f>
        <v>6</v>
      </c>
      <c r="M16" s="19">
        <f t="shared" si="1"/>
        <v>8.5714285714285715E-2</v>
      </c>
    </row>
    <row r="17" spans="2:13" ht="18" x14ac:dyDescent="0.2">
      <c r="B17" s="17" t="s">
        <v>111</v>
      </c>
      <c r="C17" s="17" t="s">
        <v>112</v>
      </c>
      <c r="D17" s="17" t="s">
        <v>106</v>
      </c>
      <c r="E17" s="18">
        <f>CycleCounts!D105</f>
        <v>346</v>
      </c>
      <c r="F17" s="18">
        <f>Products!E9</f>
        <v>100</v>
      </c>
      <c r="G17" s="17" t="str">
        <f t="shared" si="0"/>
        <v>OK</v>
      </c>
      <c r="H17" s="19">
        <f>1-COUNTIFS(CycleCounts!$B$2:$B$391,B17,CycleCounts!$F$2:$F$391,"&lt;&gt;0")/COUNTIF(CycleCounts!$B$2:$B$391,B17)</f>
        <v>0.76923076923076916</v>
      </c>
      <c r="I17" s="18">
        <f>SUMIFS(Receiving!$H$2:$H$196,Receiving!$D$2:$D$196,B17)</f>
        <v>632</v>
      </c>
      <c r="J17" s="19">
        <f>IFERROR(AVERAGEIFS(Receiving!$M$2:$M$196,Receiving!$D$2:$D$196,B17),"N/A")</f>
        <v>0.8571428571428571</v>
      </c>
      <c r="K17" s="18">
        <f>SUMIFS(Orders!$D$2:$D$598,Orders!$C$2:$C$598,B17)</f>
        <v>351</v>
      </c>
      <c r="L17" s="18">
        <f>SUMIFS(Returns!$E$2:$E$41,Returns!$F$2:$F$41,B17)</f>
        <v>12</v>
      </c>
      <c r="M17" s="19">
        <f t="shared" si="1"/>
        <v>3.4188034188034191E-2</v>
      </c>
    </row>
    <row r="18" spans="2:13" ht="18" x14ac:dyDescent="0.2">
      <c r="B18" s="17" t="s">
        <v>113</v>
      </c>
      <c r="C18" s="17" t="s">
        <v>114</v>
      </c>
      <c r="D18" s="17" t="s">
        <v>115</v>
      </c>
      <c r="E18" s="18">
        <f>CycleCounts!D118</f>
        <v>13</v>
      </c>
      <c r="F18" s="18">
        <f>Products!E10</f>
        <v>30</v>
      </c>
      <c r="G18" s="17" t="str">
        <f t="shared" si="0"/>
        <v>Below Reorder</v>
      </c>
      <c r="H18" s="19">
        <f>1-COUNTIFS(CycleCounts!$B$2:$B$391,B18,CycleCounts!$F$2:$F$391,"&lt;&gt;0")/COUNTIF(CycleCounts!$B$2:$B$391,B18)</f>
        <v>0.92307692307692313</v>
      </c>
      <c r="I18" s="18">
        <f>SUMIFS(Receiving!$H$2:$H$196,Receiving!$D$2:$D$196,B18)</f>
        <v>683</v>
      </c>
      <c r="J18" s="19">
        <f>IFERROR(AVERAGEIFS(Receiving!$M$2:$M$196,Receiving!$D$2:$D$196,B18),"N/A")</f>
        <v>0.66666666666666663</v>
      </c>
      <c r="K18" s="18">
        <f>SUMIFS(Orders!$D$2:$D$598,Orders!$C$2:$C$598,B18)</f>
        <v>100</v>
      </c>
      <c r="L18" s="18">
        <f>SUMIFS(Returns!$E$2:$E$41,Returns!$F$2:$F$41,B18)</f>
        <v>0</v>
      </c>
      <c r="M18" s="19">
        <f t="shared" si="1"/>
        <v>0</v>
      </c>
    </row>
    <row r="19" spans="2:13" ht="18" x14ac:dyDescent="0.2">
      <c r="B19" s="17" t="s">
        <v>116</v>
      </c>
      <c r="C19" s="17" t="s">
        <v>117</v>
      </c>
      <c r="D19" s="17" t="s">
        <v>115</v>
      </c>
      <c r="E19" s="18">
        <f>CycleCounts!D131</f>
        <v>149</v>
      </c>
      <c r="F19" s="18">
        <f>Products!E11</f>
        <v>30</v>
      </c>
      <c r="G19" s="17" t="str">
        <f t="shared" si="0"/>
        <v>OK</v>
      </c>
      <c r="H19" s="19">
        <f>1-COUNTIFS(CycleCounts!$B$2:$B$391,B19,CycleCounts!$F$2:$F$391,"&lt;&gt;0")/COUNTIF(CycleCounts!$B$2:$B$391,B19)</f>
        <v>0.84615384615384615</v>
      </c>
      <c r="I19" s="18">
        <f>SUMIFS(Receiving!$H$2:$H$196,Receiving!$D$2:$D$196,B19)</f>
        <v>1060</v>
      </c>
      <c r="J19" s="19">
        <f>IFERROR(AVERAGEIFS(Receiving!$M$2:$M$196,Receiving!$D$2:$D$196,B19),"N/A")</f>
        <v>0.83333333333333337</v>
      </c>
      <c r="K19" s="18">
        <f>SUMIFS(Orders!$D$2:$D$598,Orders!$C$2:$C$598,B19)</f>
        <v>51</v>
      </c>
      <c r="L19" s="18">
        <f>SUMIFS(Returns!$E$2:$E$41,Returns!$F$2:$F$41,B19)</f>
        <v>5</v>
      </c>
      <c r="M19" s="19">
        <f t="shared" si="1"/>
        <v>9.8039215686274508E-2</v>
      </c>
    </row>
    <row r="20" spans="2:13" ht="18" x14ac:dyDescent="0.2">
      <c r="B20" s="17" t="s">
        <v>118</v>
      </c>
      <c r="C20" s="17" t="s">
        <v>119</v>
      </c>
      <c r="D20" s="17" t="s">
        <v>115</v>
      </c>
      <c r="E20" s="18">
        <f>CycleCounts!D144</f>
        <v>79</v>
      </c>
      <c r="F20" s="18">
        <f>Products!E12</f>
        <v>40</v>
      </c>
      <c r="G20" s="17" t="str">
        <f t="shared" si="0"/>
        <v>OK</v>
      </c>
      <c r="H20" s="19">
        <f>1-COUNTIFS(CycleCounts!$B$2:$B$391,B20,CycleCounts!$F$2:$F$391,"&lt;&gt;0")/COUNTIF(CycleCounts!$B$2:$B$391,B20)</f>
        <v>0.76923076923076916</v>
      </c>
      <c r="I20" s="18">
        <f>SUMIFS(Receiving!$H$2:$H$196,Receiving!$D$2:$D$196,B20)</f>
        <v>225</v>
      </c>
      <c r="J20" s="19">
        <f>IFERROR(AVERAGEIFS(Receiving!$M$2:$M$196,Receiving!$D$2:$D$196,B20),"N/A")</f>
        <v>1</v>
      </c>
      <c r="K20" s="18">
        <f>SUMIFS(Orders!$D$2:$D$598,Orders!$C$2:$C$598,B20)</f>
        <v>209</v>
      </c>
      <c r="L20" s="18">
        <f>SUMIFS(Returns!$E$2:$E$41,Returns!$F$2:$F$41,B20)</f>
        <v>12</v>
      </c>
      <c r="M20" s="19">
        <f t="shared" si="1"/>
        <v>5.7416267942583733E-2</v>
      </c>
    </row>
    <row r="21" spans="2:13" ht="18" x14ac:dyDescent="0.2">
      <c r="B21" s="17" t="s">
        <v>120</v>
      </c>
      <c r="C21" s="17" t="s">
        <v>121</v>
      </c>
      <c r="D21" s="17" t="s">
        <v>122</v>
      </c>
      <c r="E21" s="18">
        <f>CycleCounts!D157</f>
        <v>97</v>
      </c>
      <c r="F21" s="18">
        <f>Products!E13</f>
        <v>50</v>
      </c>
      <c r="G21" s="17" t="str">
        <f t="shared" si="0"/>
        <v>OK</v>
      </c>
      <c r="H21" s="19">
        <f>1-COUNTIFS(CycleCounts!$B$2:$B$391,B21,CycleCounts!$F$2:$F$391,"&lt;&gt;0")/COUNTIF(CycleCounts!$B$2:$B$391,B21)</f>
        <v>0.92307692307692313</v>
      </c>
      <c r="I21" s="18">
        <f>SUMIFS(Receiving!$H$2:$H$196,Receiving!$D$2:$D$196,B21)</f>
        <v>374</v>
      </c>
      <c r="J21" s="19">
        <f>IFERROR(AVERAGEIFS(Receiving!$M$2:$M$196,Receiving!$D$2:$D$196,B21),"N/A")</f>
        <v>1</v>
      </c>
      <c r="K21" s="18">
        <f>SUMIFS(Orders!$D$2:$D$598,Orders!$C$2:$C$598,B21)</f>
        <v>204</v>
      </c>
      <c r="L21" s="18">
        <f>SUMIFS(Returns!$E$2:$E$41,Returns!$F$2:$F$41,B21)</f>
        <v>0</v>
      </c>
      <c r="M21" s="19">
        <f t="shared" si="1"/>
        <v>0</v>
      </c>
    </row>
    <row r="22" spans="2:13" ht="18" x14ac:dyDescent="0.2">
      <c r="B22" s="17" t="s">
        <v>123</v>
      </c>
      <c r="C22" s="17" t="s">
        <v>124</v>
      </c>
      <c r="D22" s="17" t="s">
        <v>122</v>
      </c>
      <c r="E22" s="18">
        <f>CycleCounts!D170</f>
        <v>134</v>
      </c>
      <c r="F22" s="18">
        <f>Products!E14</f>
        <v>40</v>
      </c>
      <c r="G22" s="17" t="str">
        <f t="shared" si="0"/>
        <v>OK</v>
      </c>
      <c r="H22" s="19">
        <f>1-COUNTIFS(CycleCounts!$B$2:$B$391,B22,CycleCounts!$F$2:$F$391,"&lt;&gt;0")/COUNTIF(CycleCounts!$B$2:$B$391,B22)</f>
        <v>0.84615384615384615</v>
      </c>
      <c r="I22" s="18">
        <f>SUMIFS(Receiving!$H$2:$H$196,Receiving!$D$2:$D$196,B22)</f>
        <v>784</v>
      </c>
      <c r="J22" s="19">
        <f>IFERROR(AVERAGEIFS(Receiving!$M$2:$M$196,Receiving!$D$2:$D$196,B22),"N/A")</f>
        <v>0.77777777777777779</v>
      </c>
      <c r="K22" s="18">
        <f>SUMIFS(Orders!$D$2:$D$598,Orders!$C$2:$C$598,B22)</f>
        <v>178</v>
      </c>
      <c r="L22" s="18">
        <f>SUMIFS(Returns!$E$2:$E$41,Returns!$F$2:$F$41,B22)</f>
        <v>13</v>
      </c>
      <c r="M22" s="19">
        <f t="shared" si="1"/>
        <v>7.3033707865168537E-2</v>
      </c>
    </row>
    <row r="23" spans="2:13" ht="18" x14ac:dyDescent="0.2">
      <c r="B23" s="17" t="s">
        <v>125</v>
      </c>
      <c r="C23" s="17" t="s">
        <v>126</v>
      </c>
      <c r="D23" s="17" t="s">
        <v>122</v>
      </c>
      <c r="E23" s="18">
        <f>CycleCounts!D183</f>
        <v>139</v>
      </c>
      <c r="F23" s="18">
        <f>Products!E15</f>
        <v>50</v>
      </c>
      <c r="G23" s="17" t="str">
        <f t="shared" si="0"/>
        <v>OK</v>
      </c>
      <c r="H23" s="19">
        <f>1-COUNTIFS(CycleCounts!$B$2:$B$391,B23,CycleCounts!$F$2:$F$391,"&lt;&gt;0")/COUNTIF(CycleCounts!$B$2:$B$391,B23)</f>
        <v>0.92307692307692313</v>
      </c>
      <c r="I23" s="18">
        <f>SUMIFS(Receiving!$H$2:$H$196,Receiving!$D$2:$D$196,B23)</f>
        <v>641</v>
      </c>
      <c r="J23" s="19">
        <f>IFERROR(AVERAGEIFS(Receiving!$M$2:$M$196,Receiving!$D$2:$D$196,B23),"N/A")</f>
        <v>0.83333333333333337</v>
      </c>
      <c r="K23" s="18">
        <f>SUMIFS(Orders!$D$2:$D$598,Orders!$C$2:$C$598,B23)</f>
        <v>181</v>
      </c>
      <c r="L23" s="18">
        <f>SUMIFS(Returns!$E$2:$E$41,Returns!$F$2:$F$41,B23)</f>
        <v>16</v>
      </c>
      <c r="M23" s="19">
        <f t="shared" si="1"/>
        <v>8.8397790055248615E-2</v>
      </c>
    </row>
    <row r="24" spans="2:13" ht="18" x14ac:dyDescent="0.2">
      <c r="B24" s="17" t="s">
        <v>127</v>
      </c>
      <c r="C24" s="17" t="s">
        <v>128</v>
      </c>
      <c r="D24" s="17" t="s">
        <v>129</v>
      </c>
      <c r="E24" s="18">
        <f>CycleCounts!D196</f>
        <v>157</v>
      </c>
      <c r="F24" s="18">
        <f>Products!E16</f>
        <v>30</v>
      </c>
      <c r="G24" s="17" t="str">
        <f t="shared" si="0"/>
        <v>OK</v>
      </c>
      <c r="H24" s="19">
        <f>1-COUNTIFS(CycleCounts!$B$2:$B$391,B24,CycleCounts!$F$2:$F$391,"&lt;&gt;0")/COUNTIF(CycleCounts!$B$2:$B$391,B24)</f>
        <v>0.92307692307692313</v>
      </c>
      <c r="I24" s="18">
        <f>SUMIFS(Receiving!$H$2:$H$196,Receiving!$D$2:$D$196,B24)</f>
        <v>661</v>
      </c>
      <c r="J24" s="19">
        <f>IFERROR(AVERAGEIFS(Receiving!$M$2:$M$196,Receiving!$D$2:$D$196,B24),"N/A")</f>
        <v>0.8571428571428571</v>
      </c>
      <c r="K24" s="18">
        <f>SUMIFS(Orders!$D$2:$D$598,Orders!$C$2:$C$598,B24)</f>
        <v>94</v>
      </c>
      <c r="L24" s="18">
        <f>SUMIFS(Returns!$E$2:$E$41,Returns!$F$2:$F$41,B24)</f>
        <v>3</v>
      </c>
      <c r="M24" s="19">
        <f t="shared" si="1"/>
        <v>3.1914893617021274E-2</v>
      </c>
    </row>
    <row r="25" spans="2:13" ht="18" x14ac:dyDescent="0.2">
      <c r="B25" s="17" t="s">
        <v>130</v>
      </c>
      <c r="C25" s="17" t="s">
        <v>131</v>
      </c>
      <c r="D25" s="17" t="s">
        <v>129</v>
      </c>
      <c r="E25" s="18">
        <f>CycleCounts!D209</f>
        <v>146</v>
      </c>
      <c r="F25" s="18">
        <f>Products!E17</f>
        <v>40</v>
      </c>
      <c r="G25" s="17" t="str">
        <f t="shared" si="0"/>
        <v>OK</v>
      </c>
      <c r="H25" s="19">
        <f>1-COUNTIFS(CycleCounts!$B$2:$B$391,B25,CycleCounts!$F$2:$F$391,"&lt;&gt;0")/COUNTIF(CycleCounts!$B$2:$B$391,B25)</f>
        <v>0.84615384615384615</v>
      </c>
      <c r="I25" s="18">
        <f>SUMIFS(Receiving!$H$2:$H$196,Receiving!$D$2:$D$196,B25)</f>
        <v>461</v>
      </c>
      <c r="J25" s="19">
        <f>IFERROR(AVERAGEIFS(Receiving!$M$2:$M$196,Receiving!$D$2:$D$196,B25),"N/A")</f>
        <v>0.875</v>
      </c>
      <c r="K25" s="18">
        <f>SUMIFS(Orders!$D$2:$D$598,Orders!$C$2:$C$598,B25)</f>
        <v>100</v>
      </c>
      <c r="L25" s="18">
        <f>SUMIFS(Returns!$E$2:$E$41,Returns!$F$2:$F$41,B25)</f>
        <v>1</v>
      </c>
      <c r="M25" s="19">
        <f t="shared" si="1"/>
        <v>0.01</v>
      </c>
    </row>
    <row r="26" spans="2:13" ht="18" x14ac:dyDescent="0.2">
      <c r="B26" s="17" t="s">
        <v>132</v>
      </c>
      <c r="C26" s="17" t="s">
        <v>133</v>
      </c>
      <c r="D26" s="17" t="s">
        <v>129</v>
      </c>
      <c r="E26" s="18">
        <f>CycleCounts!D222</f>
        <v>71</v>
      </c>
      <c r="F26" s="18">
        <f>Products!E18</f>
        <v>60</v>
      </c>
      <c r="G26" s="17" t="str">
        <f t="shared" si="0"/>
        <v>OK</v>
      </c>
      <c r="H26" s="19">
        <f>1-COUNTIFS(CycleCounts!$B$2:$B$391,B26,CycleCounts!$F$2:$F$391,"&lt;&gt;0")/COUNTIF(CycleCounts!$B$2:$B$391,B26)</f>
        <v>1</v>
      </c>
      <c r="I26" s="18">
        <f>SUMIFS(Receiving!$H$2:$H$196,Receiving!$D$2:$D$196,B26)</f>
        <v>866</v>
      </c>
      <c r="J26" s="19">
        <f>IFERROR(AVERAGEIFS(Receiving!$M$2:$M$196,Receiving!$D$2:$D$196,B26),"N/A")</f>
        <v>1</v>
      </c>
      <c r="K26" s="18">
        <f>SUMIFS(Orders!$D$2:$D$598,Orders!$C$2:$C$598,B26)</f>
        <v>212</v>
      </c>
      <c r="L26" s="18">
        <f>SUMIFS(Returns!$E$2:$E$41,Returns!$F$2:$F$41,B26)</f>
        <v>12</v>
      </c>
      <c r="M26" s="19">
        <f t="shared" si="1"/>
        <v>5.6603773584905662E-2</v>
      </c>
    </row>
    <row r="27" spans="2:13" ht="18" x14ac:dyDescent="0.2">
      <c r="B27" s="17" t="s">
        <v>134</v>
      </c>
      <c r="C27" s="17" t="s">
        <v>135</v>
      </c>
      <c r="D27" s="17" t="s">
        <v>129</v>
      </c>
      <c r="E27" s="18">
        <f>CycleCounts!D235</f>
        <v>124</v>
      </c>
      <c r="F27" s="18">
        <f>Products!E19</f>
        <v>50</v>
      </c>
      <c r="G27" s="17" t="str">
        <f t="shared" si="0"/>
        <v>OK</v>
      </c>
      <c r="H27" s="19">
        <f>1-COUNTIFS(CycleCounts!$B$2:$B$391,B27,CycleCounts!$F$2:$F$391,"&lt;&gt;0")/COUNTIF(CycleCounts!$B$2:$B$391,B27)</f>
        <v>0.84615384615384615</v>
      </c>
      <c r="I27" s="18">
        <f>SUMIFS(Receiving!$H$2:$H$196,Receiving!$D$2:$D$196,B27)</f>
        <v>683</v>
      </c>
      <c r="J27" s="19">
        <f>IFERROR(AVERAGEIFS(Receiving!$M$2:$M$196,Receiving!$D$2:$D$196,B27),"N/A")</f>
        <v>1</v>
      </c>
      <c r="K27" s="18">
        <f>SUMIFS(Orders!$D$2:$D$598,Orders!$C$2:$C$598,B27)</f>
        <v>108</v>
      </c>
      <c r="L27" s="18">
        <f>SUMIFS(Returns!$E$2:$E$41,Returns!$F$2:$F$41,B27)</f>
        <v>0</v>
      </c>
      <c r="M27" s="19">
        <f t="shared" si="1"/>
        <v>0</v>
      </c>
    </row>
    <row r="28" spans="2:13" ht="18" x14ac:dyDescent="0.2">
      <c r="B28" s="17" t="s">
        <v>136</v>
      </c>
      <c r="C28" s="17" t="s">
        <v>137</v>
      </c>
      <c r="D28" s="17" t="s">
        <v>138</v>
      </c>
      <c r="E28" s="18">
        <f>CycleCounts!D248</f>
        <v>265</v>
      </c>
      <c r="F28" s="18">
        <f>Products!E20</f>
        <v>150</v>
      </c>
      <c r="G28" s="17" t="str">
        <f t="shared" si="0"/>
        <v>OK</v>
      </c>
      <c r="H28" s="19">
        <f>1-COUNTIFS(CycleCounts!$B$2:$B$391,B28,CycleCounts!$F$2:$F$391,"&lt;&gt;0")/COUNTIF(CycleCounts!$B$2:$B$391,B28)</f>
        <v>0.84615384615384615</v>
      </c>
      <c r="I28" s="18">
        <f>SUMIFS(Receiving!$H$2:$H$196,Receiving!$D$2:$D$196,B28)</f>
        <v>559</v>
      </c>
      <c r="J28" s="19">
        <f>IFERROR(AVERAGEIFS(Receiving!$M$2:$M$196,Receiving!$D$2:$D$196,B28),"N/A")</f>
        <v>0.66666666666666663</v>
      </c>
      <c r="K28" s="18">
        <f>SUMIFS(Orders!$D$2:$D$598,Orders!$C$2:$C$598,B28)</f>
        <v>474</v>
      </c>
      <c r="L28" s="18">
        <f>SUMIFS(Returns!$E$2:$E$41,Returns!$F$2:$F$41,B28)</f>
        <v>3</v>
      </c>
      <c r="M28" s="19">
        <f t="shared" si="1"/>
        <v>6.3291139240506328E-3</v>
      </c>
    </row>
    <row r="29" spans="2:13" ht="18" x14ac:dyDescent="0.2">
      <c r="B29" s="17" t="s">
        <v>139</v>
      </c>
      <c r="C29" s="17" t="s">
        <v>140</v>
      </c>
      <c r="D29" s="17" t="s">
        <v>138</v>
      </c>
      <c r="E29" s="18">
        <f>CycleCounts!D261</f>
        <v>92</v>
      </c>
      <c r="F29" s="18">
        <f>Products!E21</f>
        <v>60</v>
      </c>
      <c r="G29" s="17" t="str">
        <f t="shared" si="0"/>
        <v>OK</v>
      </c>
      <c r="H29" s="19">
        <f>1-COUNTIFS(CycleCounts!$B$2:$B$391,B29,CycleCounts!$F$2:$F$391,"&lt;&gt;0")/COUNTIF(CycleCounts!$B$2:$B$391,B29)</f>
        <v>0.92307692307692313</v>
      </c>
      <c r="I29" s="18">
        <f>SUMIFS(Receiving!$H$2:$H$196,Receiving!$D$2:$D$196,B29)</f>
        <v>684</v>
      </c>
      <c r="J29" s="19">
        <f>IFERROR(AVERAGEIFS(Receiving!$M$2:$M$196,Receiving!$D$2:$D$196,B29),"N/A")</f>
        <v>0.7142857142857143</v>
      </c>
      <c r="K29" s="18">
        <f>SUMIFS(Orders!$D$2:$D$598,Orders!$C$2:$C$598,B29)</f>
        <v>190</v>
      </c>
      <c r="L29" s="18">
        <f>SUMIFS(Returns!$E$2:$E$41,Returns!$F$2:$F$41,B29)</f>
        <v>5</v>
      </c>
      <c r="M29" s="19">
        <f t="shared" si="1"/>
        <v>2.6315789473684209E-2</v>
      </c>
    </row>
    <row r="30" spans="2:13" ht="18" x14ac:dyDescent="0.2">
      <c r="B30" s="17" t="s">
        <v>141</v>
      </c>
      <c r="C30" s="17" t="s">
        <v>142</v>
      </c>
      <c r="D30" s="17" t="s">
        <v>138</v>
      </c>
      <c r="E30" s="18">
        <f>CycleCounts!D274</f>
        <v>74</v>
      </c>
      <c r="F30" s="18">
        <f>Products!E22</f>
        <v>40</v>
      </c>
      <c r="G30" s="17" t="str">
        <f t="shared" si="0"/>
        <v>OK</v>
      </c>
      <c r="H30" s="19">
        <f>1-COUNTIFS(CycleCounts!$B$2:$B$391,B30,CycleCounts!$F$2:$F$391,"&lt;&gt;0")/COUNTIF(CycleCounts!$B$2:$B$391,B30)</f>
        <v>0.84615384615384615</v>
      </c>
      <c r="I30" s="18">
        <f>SUMIFS(Receiving!$H$2:$H$196,Receiving!$D$2:$D$196,B30)</f>
        <v>711</v>
      </c>
      <c r="J30" s="19">
        <f>IFERROR(AVERAGEIFS(Receiving!$M$2:$M$196,Receiving!$D$2:$D$196,B30),"N/A")</f>
        <v>0.83333333333333337</v>
      </c>
      <c r="K30" s="18">
        <f>SUMIFS(Orders!$D$2:$D$598,Orders!$C$2:$C$598,B30)</f>
        <v>137</v>
      </c>
      <c r="L30" s="18">
        <f>SUMIFS(Returns!$E$2:$E$41,Returns!$F$2:$F$41,B30)</f>
        <v>20</v>
      </c>
      <c r="M30" s="19">
        <f t="shared" si="1"/>
        <v>0.145985401459854</v>
      </c>
    </row>
    <row r="31" spans="2:13" ht="18" x14ac:dyDescent="0.2">
      <c r="B31" s="17" t="s">
        <v>143</v>
      </c>
      <c r="C31" s="17" t="s">
        <v>144</v>
      </c>
      <c r="D31" s="17" t="s">
        <v>138</v>
      </c>
      <c r="E31" s="18">
        <f>CycleCounts!D287</f>
        <v>415</v>
      </c>
      <c r="F31" s="18">
        <f>Products!E23</f>
        <v>100</v>
      </c>
      <c r="G31" s="17" t="str">
        <f t="shared" si="0"/>
        <v>OK</v>
      </c>
      <c r="H31" s="19">
        <f>1-COUNTIFS(CycleCounts!$B$2:$B$391,B31,CycleCounts!$F$2:$F$391,"&lt;&gt;0")/COUNTIF(CycleCounts!$B$2:$B$391,B31)</f>
        <v>0.84615384615384615</v>
      </c>
      <c r="I31" s="18">
        <f>SUMIFS(Receiving!$H$2:$H$196,Receiving!$D$2:$D$196,B31)</f>
        <v>243</v>
      </c>
      <c r="J31" s="19">
        <f>IFERROR(AVERAGEIFS(Receiving!$M$2:$M$196,Receiving!$D$2:$D$196,B31),"N/A")</f>
        <v>0.75</v>
      </c>
      <c r="K31" s="18">
        <f>SUMIFS(Orders!$D$2:$D$598,Orders!$C$2:$C$598,B31)</f>
        <v>426</v>
      </c>
      <c r="L31" s="18">
        <f>SUMIFS(Returns!$E$2:$E$41,Returns!$F$2:$F$41,B31)</f>
        <v>43</v>
      </c>
      <c r="M31" s="19">
        <f t="shared" si="1"/>
        <v>0.10093896713615023</v>
      </c>
    </row>
    <row r="32" spans="2:13" ht="18" x14ac:dyDescent="0.2">
      <c r="B32" s="17" t="s">
        <v>145</v>
      </c>
      <c r="C32" s="17" t="s">
        <v>146</v>
      </c>
      <c r="D32" s="17" t="s">
        <v>138</v>
      </c>
      <c r="E32" s="18">
        <f>CycleCounts!D300</f>
        <v>181</v>
      </c>
      <c r="F32" s="18">
        <f>Products!E24</f>
        <v>60</v>
      </c>
      <c r="G32" s="17" t="str">
        <f t="shared" si="0"/>
        <v>OK</v>
      </c>
      <c r="H32" s="19">
        <f>1-COUNTIFS(CycleCounts!$B$2:$B$391,B32,CycleCounts!$F$2:$F$391,"&lt;&gt;0")/COUNTIF(CycleCounts!$B$2:$B$391,B32)</f>
        <v>0.84615384615384615</v>
      </c>
      <c r="I32" s="18">
        <f>SUMIFS(Receiving!$H$2:$H$196,Receiving!$D$2:$D$196,B32)</f>
        <v>636</v>
      </c>
      <c r="J32" s="19">
        <f>IFERROR(AVERAGEIFS(Receiving!$M$2:$M$196,Receiving!$D$2:$D$196,B32),"N/A")</f>
        <v>0.75</v>
      </c>
      <c r="K32" s="18">
        <f>SUMIFS(Orders!$D$2:$D$598,Orders!$C$2:$C$598,B32)</f>
        <v>271</v>
      </c>
      <c r="L32" s="18">
        <f>SUMIFS(Returns!$E$2:$E$41,Returns!$F$2:$F$41,B32)</f>
        <v>11</v>
      </c>
      <c r="M32" s="19">
        <f t="shared" si="1"/>
        <v>4.0590405904059039E-2</v>
      </c>
    </row>
    <row r="33" spans="2:13" ht="18" x14ac:dyDescent="0.2">
      <c r="B33" s="17" t="s">
        <v>147</v>
      </c>
      <c r="C33" s="17" t="s">
        <v>148</v>
      </c>
      <c r="D33" s="17" t="s">
        <v>138</v>
      </c>
      <c r="E33" s="18">
        <f>CycleCounts!D313</f>
        <v>395</v>
      </c>
      <c r="F33" s="18">
        <f>Products!E25</f>
        <v>120</v>
      </c>
      <c r="G33" s="17" t="str">
        <f t="shared" si="0"/>
        <v>OK</v>
      </c>
      <c r="H33" s="19">
        <f>1-COUNTIFS(CycleCounts!$B$2:$B$391,B33,CycleCounts!$F$2:$F$391,"&lt;&gt;0")/COUNTIF(CycleCounts!$B$2:$B$391,B33)</f>
        <v>0.69230769230769229</v>
      </c>
      <c r="I33" s="18">
        <f>SUMIFS(Receiving!$H$2:$H$196,Receiving!$D$2:$D$196,B33)</f>
        <v>605</v>
      </c>
      <c r="J33" s="19">
        <f>IFERROR(AVERAGEIFS(Receiving!$M$2:$M$196,Receiving!$D$2:$D$196,B33),"N/A")</f>
        <v>0.8571428571428571</v>
      </c>
      <c r="K33" s="18">
        <f>SUMIFS(Orders!$D$2:$D$598,Orders!$C$2:$C$598,B33)</f>
        <v>664</v>
      </c>
      <c r="L33" s="18">
        <f>SUMIFS(Returns!$E$2:$E$41,Returns!$F$2:$F$41,B33)</f>
        <v>0</v>
      </c>
      <c r="M33" s="19">
        <f t="shared" si="1"/>
        <v>0</v>
      </c>
    </row>
    <row r="34" spans="2:13" ht="18" x14ac:dyDescent="0.2">
      <c r="B34" s="17" t="s">
        <v>149</v>
      </c>
      <c r="C34" s="17" t="s">
        <v>150</v>
      </c>
      <c r="D34" s="17" t="s">
        <v>151</v>
      </c>
      <c r="E34" s="18">
        <f>CycleCounts!D326</f>
        <v>66</v>
      </c>
      <c r="F34" s="18">
        <f>Products!E26</f>
        <v>30</v>
      </c>
      <c r="G34" s="17" t="str">
        <f t="shared" si="0"/>
        <v>OK</v>
      </c>
      <c r="H34" s="19">
        <f>1-COUNTIFS(CycleCounts!$B$2:$B$391,B34,CycleCounts!$F$2:$F$391,"&lt;&gt;0")/COUNTIF(CycleCounts!$B$2:$B$391,B34)</f>
        <v>0.92307692307692313</v>
      </c>
      <c r="I34" s="18">
        <f>SUMIFS(Receiving!$H$2:$H$196,Receiving!$D$2:$D$196,B34)</f>
        <v>831</v>
      </c>
      <c r="J34" s="19">
        <f>IFERROR(AVERAGEIFS(Receiving!$M$2:$M$196,Receiving!$D$2:$D$196,B34),"N/A")</f>
        <v>1</v>
      </c>
      <c r="K34" s="18">
        <f>SUMIFS(Orders!$D$2:$D$598,Orders!$C$2:$C$598,B34)</f>
        <v>99</v>
      </c>
      <c r="L34" s="18">
        <f>SUMIFS(Returns!$E$2:$E$41,Returns!$F$2:$F$41,B34)</f>
        <v>0</v>
      </c>
      <c r="M34" s="19">
        <f t="shared" si="1"/>
        <v>0</v>
      </c>
    </row>
    <row r="35" spans="2:13" ht="18" x14ac:dyDescent="0.2">
      <c r="B35" s="17" t="s">
        <v>152</v>
      </c>
      <c r="C35" s="17" t="s">
        <v>153</v>
      </c>
      <c r="D35" s="17" t="s">
        <v>151</v>
      </c>
      <c r="E35" s="18">
        <f>CycleCounts!D339</f>
        <v>42</v>
      </c>
      <c r="F35" s="18">
        <f>Products!E27</f>
        <v>30</v>
      </c>
      <c r="G35" s="17" t="str">
        <f t="shared" si="0"/>
        <v>OK</v>
      </c>
      <c r="H35" s="19">
        <f>1-COUNTIFS(CycleCounts!$B$2:$B$391,B35,CycleCounts!$F$2:$F$391,"&lt;&gt;0")/COUNTIF(CycleCounts!$B$2:$B$391,B35)</f>
        <v>0.84615384615384615</v>
      </c>
      <c r="I35" s="18">
        <f>SUMIFS(Receiving!$H$2:$H$196,Receiving!$D$2:$D$196,B35)</f>
        <v>634</v>
      </c>
      <c r="J35" s="19">
        <f>IFERROR(AVERAGEIFS(Receiving!$M$2:$M$196,Receiving!$D$2:$D$196,B35),"N/A")</f>
        <v>0.8571428571428571</v>
      </c>
      <c r="K35" s="18">
        <f>SUMIFS(Orders!$D$2:$D$598,Orders!$C$2:$C$598,B35)</f>
        <v>106</v>
      </c>
      <c r="L35" s="18">
        <f>SUMIFS(Returns!$E$2:$E$41,Returns!$F$2:$F$41,B35)</f>
        <v>8</v>
      </c>
      <c r="M35" s="19">
        <f t="shared" si="1"/>
        <v>7.5471698113207544E-2</v>
      </c>
    </row>
    <row r="36" spans="2:13" ht="18" x14ac:dyDescent="0.2">
      <c r="B36" s="17" t="s">
        <v>154</v>
      </c>
      <c r="C36" s="17" t="s">
        <v>155</v>
      </c>
      <c r="D36" s="17" t="s">
        <v>151</v>
      </c>
      <c r="E36" s="18">
        <f>CycleCounts!D352</f>
        <v>21</v>
      </c>
      <c r="F36" s="18">
        <f>Products!E28</f>
        <v>20</v>
      </c>
      <c r="G36" s="17" t="str">
        <f t="shared" si="0"/>
        <v>OK</v>
      </c>
      <c r="H36" s="19">
        <f>1-COUNTIFS(CycleCounts!$B$2:$B$391,B36,CycleCounts!$F$2:$F$391,"&lt;&gt;0")/COUNTIF(CycleCounts!$B$2:$B$391,B36)</f>
        <v>0.92307692307692313</v>
      </c>
      <c r="I36" s="18">
        <f>SUMIFS(Receiving!$H$2:$H$196,Receiving!$D$2:$D$196,B36)</f>
        <v>745</v>
      </c>
      <c r="J36" s="19">
        <f>IFERROR(AVERAGEIFS(Receiving!$M$2:$M$196,Receiving!$D$2:$D$196,B36),"N/A")</f>
        <v>0.7142857142857143</v>
      </c>
      <c r="K36" s="18">
        <f>SUMIFS(Orders!$D$2:$D$598,Orders!$C$2:$C$598,B36)</f>
        <v>46</v>
      </c>
      <c r="L36" s="18">
        <f>SUMIFS(Returns!$E$2:$E$41,Returns!$F$2:$F$41,B36)</f>
        <v>1</v>
      </c>
      <c r="M36" s="19">
        <f t="shared" si="1"/>
        <v>2.1739130434782608E-2</v>
      </c>
    </row>
    <row r="37" spans="2:13" ht="18" x14ac:dyDescent="0.2">
      <c r="B37" s="17" t="s">
        <v>156</v>
      </c>
      <c r="C37" s="17" t="s">
        <v>157</v>
      </c>
      <c r="D37" s="17" t="s">
        <v>158</v>
      </c>
      <c r="E37" s="18">
        <f>CycleCounts!D365</f>
        <v>95</v>
      </c>
      <c r="F37" s="18">
        <f>Products!E29</f>
        <v>25</v>
      </c>
      <c r="G37" s="17" t="str">
        <f t="shared" si="0"/>
        <v>OK</v>
      </c>
      <c r="H37" s="19">
        <f>1-COUNTIFS(CycleCounts!$B$2:$B$391,B37,CycleCounts!$F$2:$F$391,"&lt;&gt;0")/COUNTIF(CycleCounts!$B$2:$B$391,B37)</f>
        <v>1</v>
      </c>
      <c r="I37" s="18">
        <f>SUMIFS(Receiving!$H$2:$H$196,Receiving!$D$2:$D$196,B37)</f>
        <v>745</v>
      </c>
      <c r="J37" s="19">
        <f>IFERROR(AVERAGEIFS(Receiving!$M$2:$M$196,Receiving!$D$2:$D$196,B37),"N/A")</f>
        <v>1</v>
      </c>
      <c r="K37" s="18">
        <f>SUMIFS(Orders!$D$2:$D$598,Orders!$C$2:$C$598,B37)</f>
        <v>73</v>
      </c>
      <c r="L37" s="18">
        <f>SUMIFS(Returns!$E$2:$E$41,Returns!$F$2:$F$41,B37)</f>
        <v>6</v>
      </c>
      <c r="M37" s="19">
        <f t="shared" si="1"/>
        <v>8.2191780821917804E-2</v>
      </c>
    </row>
    <row r="38" spans="2:13" ht="18" x14ac:dyDescent="0.2">
      <c r="B38" s="17" t="s">
        <v>159</v>
      </c>
      <c r="C38" s="17" t="s">
        <v>160</v>
      </c>
      <c r="D38" s="17" t="s">
        <v>158</v>
      </c>
      <c r="E38" s="18">
        <f>CycleCounts!D378</f>
        <v>50</v>
      </c>
      <c r="F38" s="18">
        <f>Products!E30</f>
        <v>20</v>
      </c>
      <c r="G38" s="17" t="str">
        <f t="shared" si="0"/>
        <v>OK</v>
      </c>
      <c r="H38" s="19">
        <f>1-COUNTIFS(CycleCounts!$B$2:$B$391,B38,CycleCounts!$F$2:$F$391,"&lt;&gt;0")/COUNTIF(CycleCounts!$B$2:$B$391,B38)</f>
        <v>0.76923076923076916</v>
      </c>
      <c r="I38" s="18">
        <f>SUMIFS(Receiving!$H$2:$H$196,Receiving!$D$2:$D$196,B38)</f>
        <v>680</v>
      </c>
      <c r="J38" s="19">
        <f>IFERROR(AVERAGEIFS(Receiving!$M$2:$M$196,Receiving!$D$2:$D$196,B38),"N/A")</f>
        <v>1</v>
      </c>
      <c r="K38" s="18">
        <f>SUMIFS(Orders!$D$2:$D$598,Orders!$C$2:$C$598,B38)</f>
        <v>74</v>
      </c>
      <c r="L38" s="18">
        <f>SUMIFS(Returns!$E$2:$E$41,Returns!$F$2:$F$41,B38)</f>
        <v>2</v>
      </c>
      <c r="M38" s="19">
        <f t="shared" si="1"/>
        <v>2.7027027027027029E-2</v>
      </c>
    </row>
    <row r="39" spans="2:13" ht="18" x14ac:dyDescent="0.2">
      <c r="B39" s="17" t="s">
        <v>161</v>
      </c>
      <c r="C39" s="17" t="s">
        <v>162</v>
      </c>
      <c r="D39" s="17" t="s">
        <v>158</v>
      </c>
      <c r="E39" s="18">
        <f>CycleCounts!D391</f>
        <v>101</v>
      </c>
      <c r="F39" s="18">
        <f>Products!E31</f>
        <v>20</v>
      </c>
      <c r="G39" s="17" t="str">
        <f t="shared" si="0"/>
        <v>OK</v>
      </c>
      <c r="H39" s="19">
        <f>1-COUNTIFS(CycleCounts!$B$2:$B$391,B39,CycleCounts!$F$2:$F$391,"&lt;&gt;0")/COUNTIF(CycleCounts!$B$2:$B$391,B39)</f>
        <v>0.92307692307692313</v>
      </c>
      <c r="I39" s="18">
        <f>SUMIFS(Receiving!$H$2:$H$196,Receiving!$D$2:$D$196,B39)</f>
        <v>402</v>
      </c>
      <c r="J39" s="19">
        <f>IFERROR(AVERAGEIFS(Receiving!$M$2:$M$196,Receiving!$D$2:$D$196,B39),"N/A")</f>
        <v>0.8</v>
      </c>
      <c r="K39" s="18">
        <f>SUMIFS(Orders!$D$2:$D$598,Orders!$C$2:$C$598,B39)</f>
        <v>66</v>
      </c>
      <c r="L39" s="18">
        <f>SUMIFS(Returns!$E$2:$E$41,Returns!$F$2:$F$41,B39)</f>
        <v>0</v>
      </c>
      <c r="M39" s="19">
        <f t="shared" si="1"/>
        <v>0</v>
      </c>
    </row>
    <row r="56" spans="7:7" ht="19" x14ac:dyDescent="0.25">
      <c r="G56" s="15"/>
    </row>
  </sheetData>
  <conditionalFormatting sqref="G10:G39">
    <cfRule type="cellIs" dxfId="2" priority="2" operator="equal">
      <formula>"Below Reorder"</formula>
    </cfRule>
  </conditionalFormatting>
  <conditionalFormatting sqref="H10:H39">
    <cfRule type="cellIs" dxfId="1" priority="3" operator="lessThan">
      <formula>0.85</formula>
    </cfRule>
    <cfRule type="cellIs" dxfId="0" priority="4" operator="greaterThanOrEqual">
      <formula>0.95</formula>
    </cfRule>
  </conditionalFormatting>
  <conditionalFormatting sqref="J10:J39">
    <cfRule type="iconSet" priority="5">
      <iconSet>
        <cfvo type="percent" val="0"/>
        <cfvo type="percent" val="50"/>
        <cfvo type="percent" val="80"/>
      </iconSet>
    </cfRule>
  </conditionalFormatting>
  <hyperlinks>
    <hyperlink ref="H2" location="'Executive Summary'!A1" display="← Back to Executive Summary" xr:uid="{00000000-0004-0000-0200-000000000000}"/>
  </hyperlinks>
  <pageMargins left="0.75" right="0.75" top="1" bottom="1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zoomScaleNormal="100" workbookViewId="0">
      <pane ySplit="1" topLeftCell="A15" activePane="bottomLeft" state="frozen"/>
      <selection pane="bottomLeft" activeCell="G3" sqref="G3"/>
    </sheetView>
  </sheetViews>
  <sheetFormatPr baseColWidth="10" defaultColWidth="8.6640625" defaultRowHeight="19" x14ac:dyDescent="0.25"/>
  <cols>
    <col min="1" max="5" width="36.5" style="15" customWidth="1"/>
  </cols>
  <sheetData>
    <row r="1" spans="1:5" ht="18" x14ac:dyDescent="0.2">
      <c r="A1" s="16" t="s">
        <v>83</v>
      </c>
      <c r="B1" s="16" t="s">
        <v>84</v>
      </c>
      <c r="C1" s="16" t="s">
        <v>85</v>
      </c>
      <c r="D1" s="16" t="s">
        <v>163</v>
      </c>
      <c r="E1" s="16" t="s">
        <v>87</v>
      </c>
    </row>
    <row r="2" spans="1:5" ht="18" x14ac:dyDescent="0.2">
      <c r="A2" s="17" t="s">
        <v>95</v>
      </c>
      <c r="B2" s="17" t="s">
        <v>96</v>
      </c>
      <c r="C2" s="17" t="s">
        <v>97</v>
      </c>
      <c r="D2" s="20">
        <v>3.49</v>
      </c>
      <c r="E2" s="17">
        <v>120</v>
      </c>
    </row>
    <row r="3" spans="1:5" ht="18" x14ac:dyDescent="0.2">
      <c r="A3" s="17" t="s">
        <v>98</v>
      </c>
      <c r="B3" s="17" t="s">
        <v>99</v>
      </c>
      <c r="C3" s="17" t="s">
        <v>97</v>
      </c>
      <c r="D3" s="20">
        <v>3.39</v>
      </c>
      <c r="E3" s="17">
        <v>130</v>
      </c>
    </row>
    <row r="4" spans="1:5" ht="18" x14ac:dyDescent="0.2">
      <c r="A4" s="17" t="s">
        <v>100</v>
      </c>
      <c r="B4" s="17" t="s">
        <v>101</v>
      </c>
      <c r="C4" s="17" t="s">
        <v>97</v>
      </c>
      <c r="D4" s="20">
        <v>3.29</v>
      </c>
      <c r="E4" s="17">
        <v>100</v>
      </c>
    </row>
    <row r="5" spans="1:5" ht="18" x14ac:dyDescent="0.2">
      <c r="A5" s="17" t="s">
        <v>102</v>
      </c>
      <c r="B5" s="17" t="s">
        <v>103</v>
      </c>
      <c r="C5" s="17" t="s">
        <v>97</v>
      </c>
      <c r="D5" s="20">
        <v>2.99</v>
      </c>
      <c r="E5" s="17">
        <v>60</v>
      </c>
    </row>
    <row r="6" spans="1:5" ht="18" x14ac:dyDescent="0.2">
      <c r="A6" s="17" t="s">
        <v>104</v>
      </c>
      <c r="B6" s="17" t="s">
        <v>105</v>
      </c>
      <c r="C6" s="17" t="s">
        <v>106</v>
      </c>
      <c r="D6" s="20">
        <v>14.99</v>
      </c>
      <c r="E6" s="17">
        <v>40</v>
      </c>
    </row>
    <row r="7" spans="1:5" ht="18" x14ac:dyDescent="0.2">
      <c r="A7" s="17" t="s">
        <v>107</v>
      </c>
      <c r="B7" s="17" t="s">
        <v>108</v>
      </c>
      <c r="C7" s="17" t="s">
        <v>106</v>
      </c>
      <c r="D7" s="20">
        <v>13.99</v>
      </c>
      <c r="E7" s="17">
        <v>35</v>
      </c>
    </row>
    <row r="8" spans="1:5" ht="18" x14ac:dyDescent="0.2">
      <c r="A8" s="17" t="s">
        <v>109</v>
      </c>
      <c r="B8" s="17" t="s">
        <v>110</v>
      </c>
      <c r="C8" s="17" t="s">
        <v>106</v>
      </c>
      <c r="D8" s="20">
        <v>15.99</v>
      </c>
      <c r="E8" s="17">
        <v>20</v>
      </c>
    </row>
    <row r="9" spans="1:5" ht="18" x14ac:dyDescent="0.2">
      <c r="A9" s="17" t="s">
        <v>111</v>
      </c>
      <c r="B9" s="17" t="s">
        <v>112</v>
      </c>
      <c r="C9" s="17" t="s">
        <v>106</v>
      </c>
      <c r="D9" s="20">
        <v>4.49</v>
      </c>
      <c r="E9" s="17">
        <v>100</v>
      </c>
    </row>
    <row r="10" spans="1:5" ht="18" x14ac:dyDescent="0.2">
      <c r="A10" s="17" t="s">
        <v>113</v>
      </c>
      <c r="B10" s="17" t="s">
        <v>114</v>
      </c>
      <c r="C10" s="17" t="s">
        <v>115</v>
      </c>
      <c r="D10" s="20">
        <v>4.99</v>
      </c>
      <c r="E10" s="17">
        <v>30</v>
      </c>
    </row>
    <row r="11" spans="1:5" ht="18" x14ac:dyDescent="0.2">
      <c r="A11" s="17" t="s">
        <v>116</v>
      </c>
      <c r="B11" s="17" t="s">
        <v>117</v>
      </c>
      <c r="C11" s="17" t="s">
        <v>115</v>
      </c>
      <c r="D11" s="20">
        <v>4.49</v>
      </c>
      <c r="E11" s="17">
        <v>30</v>
      </c>
    </row>
    <row r="12" spans="1:5" ht="18" x14ac:dyDescent="0.2">
      <c r="A12" s="17" t="s">
        <v>118</v>
      </c>
      <c r="B12" s="17" t="s">
        <v>119</v>
      </c>
      <c r="C12" s="17" t="s">
        <v>115</v>
      </c>
      <c r="D12" s="20">
        <v>5.99</v>
      </c>
      <c r="E12" s="17">
        <v>40</v>
      </c>
    </row>
    <row r="13" spans="1:5" ht="18" x14ac:dyDescent="0.2">
      <c r="A13" s="17" t="s">
        <v>120</v>
      </c>
      <c r="B13" s="17" t="s">
        <v>121</v>
      </c>
      <c r="C13" s="17" t="s">
        <v>122</v>
      </c>
      <c r="D13" s="20">
        <v>4.29</v>
      </c>
      <c r="E13" s="17">
        <v>50</v>
      </c>
    </row>
    <row r="14" spans="1:5" ht="18" x14ac:dyDescent="0.2">
      <c r="A14" s="17" t="s">
        <v>123</v>
      </c>
      <c r="B14" s="17" t="s">
        <v>124</v>
      </c>
      <c r="C14" s="17" t="s">
        <v>122</v>
      </c>
      <c r="D14" s="20">
        <v>4.29</v>
      </c>
      <c r="E14" s="17">
        <v>40</v>
      </c>
    </row>
    <row r="15" spans="1:5" ht="18" x14ac:dyDescent="0.2">
      <c r="A15" s="17" t="s">
        <v>125</v>
      </c>
      <c r="B15" s="17" t="s">
        <v>126</v>
      </c>
      <c r="C15" s="17" t="s">
        <v>122</v>
      </c>
      <c r="D15" s="20">
        <v>3.49</v>
      </c>
      <c r="E15" s="17">
        <v>50</v>
      </c>
    </row>
    <row r="16" spans="1:5" ht="18" x14ac:dyDescent="0.2">
      <c r="A16" s="17" t="s">
        <v>127</v>
      </c>
      <c r="B16" s="17" t="s">
        <v>128</v>
      </c>
      <c r="C16" s="17" t="s">
        <v>129</v>
      </c>
      <c r="D16" s="20">
        <v>4.99</v>
      </c>
      <c r="E16" s="17">
        <v>30</v>
      </c>
    </row>
    <row r="17" spans="1:5" ht="18" x14ac:dyDescent="0.2">
      <c r="A17" s="17" t="s">
        <v>130</v>
      </c>
      <c r="B17" s="17" t="s">
        <v>131</v>
      </c>
      <c r="C17" s="17" t="s">
        <v>129</v>
      </c>
      <c r="D17" s="20">
        <v>2.4900000000000002</v>
      </c>
      <c r="E17" s="17">
        <v>40</v>
      </c>
    </row>
    <row r="18" spans="1:5" ht="18" x14ac:dyDescent="0.2">
      <c r="A18" s="17" t="s">
        <v>132</v>
      </c>
      <c r="B18" s="17" t="s">
        <v>133</v>
      </c>
      <c r="C18" s="17" t="s">
        <v>129</v>
      </c>
      <c r="D18" s="20">
        <v>6.99</v>
      </c>
      <c r="E18" s="17">
        <v>60</v>
      </c>
    </row>
    <row r="19" spans="1:5" ht="18" x14ac:dyDescent="0.2">
      <c r="A19" s="17" t="s">
        <v>134</v>
      </c>
      <c r="B19" s="17" t="s">
        <v>135</v>
      </c>
      <c r="C19" s="17" t="s">
        <v>129</v>
      </c>
      <c r="D19" s="20">
        <v>3.99</v>
      </c>
      <c r="E19" s="17">
        <v>50</v>
      </c>
    </row>
    <row r="20" spans="1:5" ht="18" x14ac:dyDescent="0.2">
      <c r="A20" s="17" t="s">
        <v>136</v>
      </c>
      <c r="B20" s="17" t="s">
        <v>137</v>
      </c>
      <c r="C20" s="17" t="s">
        <v>138</v>
      </c>
      <c r="D20" s="20">
        <v>8.99</v>
      </c>
      <c r="E20" s="17">
        <v>150</v>
      </c>
    </row>
    <row r="21" spans="1:5" ht="18" x14ac:dyDescent="0.2">
      <c r="A21" s="17" t="s">
        <v>139</v>
      </c>
      <c r="B21" s="17" t="s">
        <v>140</v>
      </c>
      <c r="C21" s="17" t="s">
        <v>138</v>
      </c>
      <c r="D21" s="20">
        <v>22.99</v>
      </c>
      <c r="E21" s="17">
        <v>60</v>
      </c>
    </row>
    <row r="22" spans="1:5" ht="18" x14ac:dyDescent="0.2">
      <c r="A22" s="17" t="s">
        <v>141</v>
      </c>
      <c r="B22" s="17" t="s">
        <v>142</v>
      </c>
      <c r="C22" s="17" t="s">
        <v>138</v>
      </c>
      <c r="D22" s="20">
        <v>11.99</v>
      </c>
      <c r="E22" s="17">
        <v>40</v>
      </c>
    </row>
    <row r="23" spans="1:5" ht="18" x14ac:dyDescent="0.2">
      <c r="A23" s="17" t="s">
        <v>143</v>
      </c>
      <c r="B23" s="17" t="s">
        <v>144</v>
      </c>
      <c r="C23" s="17" t="s">
        <v>138</v>
      </c>
      <c r="D23" s="20">
        <v>6.99</v>
      </c>
      <c r="E23" s="17">
        <v>100</v>
      </c>
    </row>
    <row r="24" spans="1:5" ht="18" x14ac:dyDescent="0.2">
      <c r="A24" s="17" t="s">
        <v>145</v>
      </c>
      <c r="B24" s="17" t="s">
        <v>146</v>
      </c>
      <c r="C24" s="17" t="s">
        <v>138</v>
      </c>
      <c r="D24" s="20">
        <v>9.99</v>
      </c>
      <c r="E24" s="17">
        <v>60</v>
      </c>
    </row>
    <row r="25" spans="1:5" ht="18" x14ac:dyDescent="0.2">
      <c r="A25" s="17" t="s">
        <v>147</v>
      </c>
      <c r="B25" s="17" t="s">
        <v>148</v>
      </c>
      <c r="C25" s="17" t="s">
        <v>138</v>
      </c>
      <c r="D25" s="20">
        <v>5.49</v>
      </c>
      <c r="E25" s="17">
        <v>120</v>
      </c>
    </row>
    <row r="26" spans="1:5" ht="18" x14ac:dyDescent="0.2">
      <c r="A26" s="17" t="s">
        <v>149</v>
      </c>
      <c r="B26" s="17" t="s">
        <v>150</v>
      </c>
      <c r="C26" s="17" t="s">
        <v>151</v>
      </c>
      <c r="D26" s="20">
        <v>2.99</v>
      </c>
      <c r="E26" s="17">
        <v>30</v>
      </c>
    </row>
    <row r="27" spans="1:5" ht="18" x14ac:dyDescent="0.2">
      <c r="A27" s="17" t="s">
        <v>152</v>
      </c>
      <c r="B27" s="17" t="s">
        <v>153</v>
      </c>
      <c r="C27" s="17" t="s">
        <v>151</v>
      </c>
      <c r="D27" s="20">
        <v>3.49</v>
      </c>
      <c r="E27" s="17">
        <v>30</v>
      </c>
    </row>
    <row r="28" spans="1:5" ht="18" x14ac:dyDescent="0.2">
      <c r="A28" s="17" t="s">
        <v>154</v>
      </c>
      <c r="B28" s="17" t="s">
        <v>155</v>
      </c>
      <c r="C28" s="17" t="s">
        <v>151</v>
      </c>
      <c r="D28" s="20">
        <v>4.99</v>
      </c>
      <c r="E28" s="17">
        <v>20</v>
      </c>
    </row>
    <row r="29" spans="1:5" ht="18" x14ac:dyDescent="0.2">
      <c r="A29" s="17" t="s">
        <v>156</v>
      </c>
      <c r="B29" s="17" t="s">
        <v>157</v>
      </c>
      <c r="C29" s="17" t="s">
        <v>158</v>
      </c>
      <c r="D29" s="20">
        <v>5.99</v>
      </c>
      <c r="E29" s="17">
        <v>25</v>
      </c>
    </row>
    <row r="30" spans="1:5" ht="18" x14ac:dyDescent="0.2">
      <c r="A30" s="17" t="s">
        <v>159</v>
      </c>
      <c r="B30" s="17" t="s">
        <v>160</v>
      </c>
      <c r="C30" s="17" t="s">
        <v>158</v>
      </c>
      <c r="D30" s="20">
        <v>5.99</v>
      </c>
      <c r="E30" s="17">
        <v>20</v>
      </c>
    </row>
    <row r="31" spans="1:5" ht="18" x14ac:dyDescent="0.2">
      <c r="A31" s="17" t="s">
        <v>161</v>
      </c>
      <c r="B31" s="17" t="s">
        <v>162</v>
      </c>
      <c r="C31" s="17" t="s">
        <v>158</v>
      </c>
      <c r="D31" s="20">
        <v>6.49</v>
      </c>
      <c r="E31" s="17">
        <v>20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1"/>
  <sheetViews>
    <sheetView zoomScaleNormal="100" workbookViewId="0">
      <pane ySplit="1" topLeftCell="A2" activePane="bottomLeft" state="frozen"/>
      <selection pane="bottomLeft" activeCell="F10" sqref="F10"/>
    </sheetView>
  </sheetViews>
  <sheetFormatPr baseColWidth="10" defaultColWidth="8.6640625" defaultRowHeight="19" x14ac:dyDescent="0.25"/>
  <cols>
    <col min="1" max="9" width="33" style="15" customWidth="1"/>
    <col min="10" max="10" width="25.6640625" customWidth="1"/>
  </cols>
  <sheetData>
    <row r="1" spans="1:10" ht="18" x14ac:dyDescent="0.2">
      <c r="A1" s="16" t="s">
        <v>164</v>
      </c>
      <c r="B1" s="16" t="s">
        <v>83</v>
      </c>
      <c r="C1" s="16" t="s">
        <v>165</v>
      </c>
      <c r="D1" s="16" t="s">
        <v>166</v>
      </c>
      <c r="E1" s="16" t="s">
        <v>167</v>
      </c>
      <c r="F1" s="16" t="s">
        <v>168</v>
      </c>
      <c r="G1" s="16" t="s">
        <v>169</v>
      </c>
      <c r="H1" s="16" t="s">
        <v>170</v>
      </c>
      <c r="I1" s="16" t="s">
        <v>85</v>
      </c>
    </row>
    <row r="2" spans="1:10" ht="18" x14ac:dyDescent="0.2">
      <c r="A2" s="17">
        <v>391</v>
      </c>
      <c r="B2" s="17" t="s">
        <v>95</v>
      </c>
      <c r="C2" s="17" t="s">
        <v>171</v>
      </c>
      <c r="D2" s="17">
        <v>468</v>
      </c>
      <c r="E2" s="17">
        <v>467</v>
      </c>
      <c r="F2" s="17">
        <v>-1</v>
      </c>
      <c r="G2" s="17" t="s">
        <v>172</v>
      </c>
      <c r="H2" s="17">
        <v>2</v>
      </c>
      <c r="I2" s="17" t="str">
        <f>INDEX(Products!$C$2:$C$31,MATCH(B2,Products!$A$2:$A$31,0))</f>
        <v>Milk</v>
      </c>
      <c r="J2" s="9">
        <f t="shared" ref="J2:J65" si="0">INT((DATEVALUE(C2)-DATE(2026,4,6))/7)</f>
        <v>0</v>
      </c>
    </row>
    <row r="3" spans="1:10" ht="18" x14ac:dyDescent="0.2">
      <c r="A3" s="17">
        <v>392</v>
      </c>
      <c r="B3" s="17" t="s">
        <v>95</v>
      </c>
      <c r="C3" s="17" t="s">
        <v>173</v>
      </c>
      <c r="D3" s="17">
        <v>476</v>
      </c>
      <c r="E3" s="17">
        <v>476</v>
      </c>
      <c r="F3" s="17">
        <v>0</v>
      </c>
      <c r="G3" s="17"/>
      <c r="H3" s="17">
        <v>5</v>
      </c>
      <c r="I3" s="17" t="str">
        <f>INDEX(Products!$C$2:$C$31,MATCH(B3,Products!$A$2:$A$31,0))</f>
        <v>Milk</v>
      </c>
      <c r="J3" s="9">
        <f t="shared" si="0"/>
        <v>1</v>
      </c>
    </row>
    <row r="4" spans="1:10" ht="18" x14ac:dyDescent="0.2">
      <c r="A4" s="17">
        <v>393</v>
      </c>
      <c r="B4" s="17" t="s">
        <v>95</v>
      </c>
      <c r="C4" s="17" t="s">
        <v>174</v>
      </c>
      <c r="D4" s="17">
        <v>463</v>
      </c>
      <c r="E4" s="17">
        <v>463</v>
      </c>
      <c r="F4" s="17">
        <v>0</v>
      </c>
      <c r="G4" s="17"/>
      <c r="H4" s="17">
        <v>1</v>
      </c>
      <c r="I4" s="17" t="str">
        <f>INDEX(Products!$C$2:$C$31,MATCH(B4,Products!$A$2:$A$31,0))</f>
        <v>Milk</v>
      </c>
      <c r="J4" s="9">
        <f t="shared" si="0"/>
        <v>2</v>
      </c>
    </row>
    <row r="5" spans="1:10" ht="18" x14ac:dyDescent="0.2">
      <c r="A5" s="17">
        <v>394</v>
      </c>
      <c r="B5" s="17" t="s">
        <v>95</v>
      </c>
      <c r="C5" s="17" t="s">
        <v>175</v>
      </c>
      <c r="D5" s="17">
        <v>448</v>
      </c>
      <c r="E5" s="17">
        <v>448</v>
      </c>
      <c r="F5" s="17">
        <v>0</v>
      </c>
      <c r="G5" s="17"/>
      <c r="H5" s="17">
        <v>2</v>
      </c>
      <c r="I5" s="17" t="str">
        <f>INDEX(Products!$C$2:$C$31,MATCH(B5,Products!$A$2:$A$31,0))</f>
        <v>Milk</v>
      </c>
      <c r="J5" s="9">
        <f t="shared" si="0"/>
        <v>3</v>
      </c>
    </row>
    <row r="6" spans="1:10" ht="18" x14ac:dyDescent="0.2">
      <c r="A6" s="17">
        <v>395</v>
      </c>
      <c r="B6" s="17" t="s">
        <v>95</v>
      </c>
      <c r="C6" s="17" t="s">
        <v>176</v>
      </c>
      <c r="D6" s="17">
        <v>449</v>
      </c>
      <c r="E6" s="17">
        <v>449</v>
      </c>
      <c r="F6" s="17">
        <v>0</v>
      </c>
      <c r="G6" s="17"/>
      <c r="H6" s="17">
        <v>5</v>
      </c>
      <c r="I6" s="17" t="str">
        <f>INDEX(Products!$C$2:$C$31,MATCH(B6,Products!$A$2:$A$31,0))</f>
        <v>Milk</v>
      </c>
      <c r="J6" s="9">
        <f t="shared" si="0"/>
        <v>4</v>
      </c>
    </row>
    <row r="7" spans="1:10" ht="18" x14ac:dyDescent="0.2">
      <c r="A7" s="17">
        <v>396</v>
      </c>
      <c r="B7" s="17" t="s">
        <v>95</v>
      </c>
      <c r="C7" s="17" t="s">
        <v>177</v>
      </c>
      <c r="D7" s="17">
        <v>440</v>
      </c>
      <c r="E7" s="17">
        <v>440</v>
      </c>
      <c r="F7" s="17">
        <v>0</v>
      </c>
      <c r="G7" s="17"/>
      <c r="H7" s="17">
        <v>5</v>
      </c>
      <c r="I7" s="17" t="str">
        <f>INDEX(Products!$C$2:$C$31,MATCH(B7,Products!$A$2:$A$31,0))</f>
        <v>Milk</v>
      </c>
      <c r="J7" s="9">
        <f t="shared" si="0"/>
        <v>5</v>
      </c>
    </row>
    <row r="8" spans="1:10" ht="18" x14ac:dyDescent="0.2">
      <c r="A8" s="17">
        <v>397</v>
      </c>
      <c r="B8" s="17" t="s">
        <v>95</v>
      </c>
      <c r="C8" s="17" t="s">
        <v>178</v>
      </c>
      <c r="D8" s="17">
        <v>438</v>
      </c>
      <c r="E8" s="17">
        <v>438</v>
      </c>
      <c r="F8" s="17">
        <v>0</v>
      </c>
      <c r="G8" s="17"/>
      <c r="H8" s="17">
        <v>5</v>
      </c>
      <c r="I8" s="17" t="str">
        <f>INDEX(Products!$C$2:$C$31,MATCH(B8,Products!$A$2:$A$31,0))</f>
        <v>Milk</v>
      </c>
      <c r="J8" s="9">
        <f t="shared" si="0"/>
        <v>6</v>
      </c>
    </row>
    <row r="9" spans="1:10" ht="18" x14ac:dyDescent="0.2">
      <c r="A9" s="17">
        <v>398</v>
      </c>
      <c r="B9" s="17" t="s">
        <v>95</v>
      </c>
      <c r="C9" s="17" t="s">
        <v>179</v>
      </c>
      <c r="D9" s="17">
        <v>431</v>
      </c>
      <c r="E9" s="17">
        <v>431</v>
      </c>
      <c r="F9" s="17">
        <v>0</v>
      </c>
      <c r="G9" s="17"/>
      <c r="H9" s="17">
        <v>1</v>
      </c>
      <c r="I9" s="17" t="str">
        <f>INDEX(Products!$C$2:$C$31,MATCH(B9,Products!$A$2:$A$31,0))</f>
        <v>Milk</v>
      </c>
      <c r="J9" s="9">
        <f t="shared" si="0"/>
        <v>7</v>
      </c>
    </row>
    <row r="10" spans="1:10" ht="18" x14ac:dyDescent="0.2">
      <c r="A10" s="17">
        <v>399</v>
      </c>
      <c r="B10" s="17" t="s">
        <v>95</v>
      </c>
      <c r="C10" s="17" t="s">
        <v>180</v>
      </c>
      <c r="D10" s="17">
        <v>440</v>
      </c>
      <c r="E10" s="17">
        <v>440</v>
      </c>
      <c r="F10" s="17">
        <v>0</v>
      </c>
      <c r="G10" s="17"/>
      <c r="H10" s="17">
        <v>4</v>
      </c>
      <c r="I10" s="17" t="str">
        <f>INDEX(Products!$C$2:$C$31,MATCH(B10,Products!$A$2:$A$31,0))</f>
        <v>Milk</v>
      </c>
      <c r="J10" s="9">
        <f t="shared" si="0"/>
        <v>8</v>
      </c>
    </row>
    <row r="11" spans="1:10" ht="18" x14ac:dyDescent="0.2">
      <c r="A11" s="17">
        <v>400</v>
      </c>
      <c r="B11" s="17" t="s">
        <v>95</v>
      </c>
      <c r="C11" s="17" t="s">
        <v>181</v>
      </c>
      <c r="D11" s="17">
        <v>435</v>
      </c>
      <c r="E11" s="17">
        <v>435</v>
      </c>
      <c r="F11" s="17">
        <v>0</v>
      </c>
      <c r="G11" s="17"/>
      <c r="H11" s="17">
        <v>2</v>
      </c>
      <c r="I11" s="17" t="str">
        <f>INDEX(Products!$C$2:$C$31,MATCH(B11,Products!$A$2:$A$31,0))</f>
        <v>Milk</v>
      </c>
      <c r="J11" s="9">
        <f t="shared" si="0"/>
        <v>9</v>
      </c>
    </row>
    <row r="12" spans="1:10" ht="18" x14ac:dyDescent="0.2">
      <c r="A12" s="17">
        <v>401</v>
      </c>
      <c r="B12" s="17" t="s">
        <v>95</v>
      </c>
      <c r="C12" s="17" t="s">
        <v>182</v>
      </c>
      <c r="D12" s="17">
        <v>450</v>
      </c>
      <c r="E12" s="17">
        <v>450</v>
      </c>
      <c r="F12" s="17">
        <v>0</v>
      </c>
      <c r="G12" s="17"/>
      <c r="H12" s="17">
        <v>1</v>
      </c>
      <c r="I12" s="17" t="str">
        <f>INDEX(Products!$C$2:$C$31,MATCH(B12,Products!$A$2:$A$31,0))</f>
        <v>Milk</v>
      </c>
      <c r="J12" s="9">
        <f t="shared" si="0"/>
        <v>10</v>
      </c>
    </row>
    <row r="13" spans="1:10" ht="18" x14ac:dyDescent="0.2">
      <c r="A13" s="17">
        <v>402</v>
      </c>
      <c r="B13" s="17" t="s">
        <v>95</v>
      </c>
      <c r="C13" s="17" t="s">
        <v>183</v>
      </c>
      <c r="D13" s="17">
        <v>437</v>
      </c>
      <c r="E13" s="17">
        <v>437</v>
      </c>
      <c r="F13" s="17">
        <v>0</v>
      </c>
      <c r="G13" s="17"/>
      <c r="H13" s="17">
        <v>3</v>
      </c>
      <c r="I13" s="17" t="str">
        <f>INDEX(Products!$C$2:$C$31,MATCH(B13,Products!$A$2:$A$31,0))</f>
        <v>Milk</v>
      </c>
      <c r="J13" s="9">
        <f t="shared" si="0"/>
        <v>11</v>
      </c>
    </row>
    <row r="14" spans="1:10" ht="18" x14ac:dyDescent="0.2">
      <c r="A14" s="17">
        <v>403</v>
      </c>
      <c r="B14" s="17" t="s">
        <v>95</v>
      </c>
      <c r="C14" s="17" t="s">
        <v>184</v>
      </c>
      <c r="D14" s="17">
        <v>449</v>
      </c>
      <c r="E14" s="17">
        <v>449</v>
      </c>
      <c r="F14" s="17">
        <v>0</v>
      </c>
      <c r="G14" s="17"/>
      <c r="H14" s="17">
        <v>3</v>
      </c>
      <c r="I14" s="17" t="str">
        <f>INDEX(Products!$C$2:$C$31,MATCH(B14,Products!$A$2:$A$31,0))</f>
        <v>Milk</v>
      </c>
      <c r="J14" s="9">
        <f t="shared" si="0"/>
        <v>12</v>
      </c>
    </row>
    <row r="15" spans="1:10" ht="18" x14ac:dyDescent="0.2">
      <c r="A15" s="17">
        <v>404</v>
      </c>
      <c r="B15" s="17" t="s">
        <v>98</v>
      </c>
      <c r="C15" s="17" t="s">
        <v>171</v>
      </c>
      <c r="D15" s="17">
        <v>268</v>
      </c>
      <c r="E15" s="17">
        <v>268</v>
      </c>
      <c r="F15" s="17">
        <v>0</v>
      </c>
      <c r="G15" s="17"/>
      <c r="H15" s="17">
        <v>1</v>
      </c>
      <c r="I15" s="17" t="str">
        <f>INDEX(Products!$C$2:$C$31,MATCH(B15,Products!$A$2:$A$31,0))</f>
        <v>Milk</v>
      </c>
      <c r="J15" s="9">
        <f t="shared" si="0"/>
        <v>0</v>
      </c>
    </row>
    <row r="16" spans="1:10" ht="18" x14ac:dyDescent="0.2">
      <c r="A16" s="17">
        <v>405</v>
      </c>
      <c r="B16" s="17" t="s">
        <v>98</v>
      </c>
      <c r="C16" s="17" t="s">
        <v>173</v>
      </c>
      <c r="D16" s="17">
        <v>282</v>
      </c>
      <c r="E16" s="17">
        <v>282</v>
      </c>
      <c r="F16" s="17">
        <v>0</v>
      </c>
      <c r="G16" s="17"/>
      <c r="H16" s="17">
        <v>5</v>
      </c>
      <c r="I16" s="17" t="str">
        <f>INDEX(Products!$C$2:$C$31,MATCH(B16,Products!$A$2:$A$31,0))</f>
        <v>Milk</v>
      </c>
      <c r="J16" s="9">
        <f t="shared" si="0"/>
        <v>1</v>
      </c>
    </row>
    <row r="17" spans="1:10" ht="18" x14ac:dyDescent="0.2">
      <c r="A17" s="17">
        <v>406</v>
      </c>
      <c r="B17" s="17" t="s">
        <v>98</v>
      </c>
      <c r="C17" s="17" t="s">
        <v>174</v>
      </c>
      <c r="D17" s="17">
        <v>276</v>
      </c>
      <c r="E17" s="17">
        <v>276</v>
      </c>
      <c r="F17" s="17">
        <v>0</v>
      </c>
      <c r="G17" s="17"/>
      <c r="H17" s="17">
        <v>5</v>
      </c>
      <c r="I17" s="17" t="str">
        <f>INDEX(Products!$C$2:$C$31,MATCH(B17,Products!$A$2:$A$31,0))</f>
        <v>Milk</v>
      </c>
      <c r="J17" s="9">
        <f t="shared" si="0"/>
        <v>2</v>
      </c>
    </row>
    <row r="18" spans="1:10" ht="18" x14ac:dyDescent="0.2">
      <c r="A18" s="17">
        <v>407</v>
      </c>
      <c r="B18" s="17" t="s">
        <v>98</v>
      </c>
      <c r="C18" s="17" t="s">
        <v>175</v>
      </c>
      <c r="D18" s="17">
        <v>289</v>
      </c>
      <c r="E18" s="17">
        <v>289</v>
      </c>
      <c r="F18" s="17">
        <v>0</v>
      </c>
      <c r="G18" s="17"/>
      <c r="H18" s="17">
        <v>5</v>
      </c>
      <c r="I18" s="17" t="str">
        <f>INDEX(Products!$C$2:$C$31,MATCH(B18,Products!$A$2:$A$31,0))</f>
        <v>Milk</v>
      </c>
      <c r="J18" s="9">
        <f t="shared" si="0"/>
        <v>3</v>
      </c>
    </row>
    <row r="19" spans="1:10" ht="18" x14ac:dyDescent="0.2">
      <c r="A19" s="17">
        <v>408</v>
      </c>
      <c r="B19" s="17" t="s">
        <v>98</v>
      </c>
      <c r="C19" s="17" t="s">
        <v>176</v>
      </c>
      <c r="D19" s="17">
        <v>280</v>
      </c>
      <c r="E19" s="17">
        <v>280</v>
      </c>
      <c r="F19" s="17">
        <v>0</v>
      </c>
      <c r="G19" s="17"/>
      <c r="H19" s="17">
        <v>1</v>
      </c>
      <c r="I19" s="17" t="str">
        <f>INDEX(Products!$C$2:$C$31,MATCH(B19,Products!$A$2:$A$31,0))</f>
        <v>Milk</v>
      </c>
      <c r="J19" s="9">
        <f t="shared" si="0"/>
        <v>4</v>
      </c>
    </row>
    <row r="20" spans="1:10" ht="18" x14ac:dyDescent="0.2">
      <c r="A20" s="17">
        <v>409</v>
      </c>
      <c r="B20" s="17" t="s">
        <v>98</v>
      </c>
      <c r="C20" s="17" t="s">
        <v>177</v>
      </c>
      <c r="D20" s="17">
        <v>286</v>
      </c>
      <c r="E20" s="17">
        <v>286</v>
      </c>
      <c r="F20" s="17">
        <v>0</v>
      </c>
      <c r="G20" s="17"/>
      <c r="H20" s="17">
        <v>3</v>
      </c>
      <c r="I20" s="17" t="str">
        <f>INDEX(Products!$C$2:$C$31,MATCH(B20,Products!$A$2:$A$31,0))</f>
        <v>Milk</v>
      </c>
      <c r="J20" s="9">
        <f t="shared" si="0"/>
        <v>5</v>
      </c>
    </row>
    <row r="21" spans="1:10" ht="18" x14ac:dyDescent="0.2">
      <c r="A21" s="17">
        <v>410</v>
      </c>
      <c r="B21" s="17" t="s">
        <v>98</v>
      </c>
      <c r="C21" s="17" t="s">
        <v>178</v>
      </c>
      <c r="D21" s="17">
        <v>273</v>
      </c>
      <c r="E21" s="17">
        <v>273</v>
      </c>
      <c r="F21" s="17">
        <v>0</v>
      </c>
      <c r="G21" s="17"/>
      <c r="H21" s="17">
        <v>1</v>
      </c>
      <c r="I21" s="17" t="str">
        <f>INDEX(Products!$C$2:$C$31,MATCH(B21,Products!$A$2:$A$31,0))</f>
        <v>Milk</v>
      </c>
      <c r="J21" s="9">
        <f t="shared" si="0"/>
        <v>6</v>
      </c>
    </row>
    <row r="22" spans="1:10" ht="18" x14ac:dyDescent="0.2">
      <c r="A22" s="17">
        <v>411</v>
      </c>
      <c r="B22" s="17" t="s">
        <v>98</v>
      </c>
      <c r="C22" s="17" t="s">
        <v>179</v>
      </c>
      <c r="D22" s="17">
        <v>270</v>
      </c>
      <c r="E22" s="17">
        <v>270</v>
      </c>
      <c r="F22" s="17">
        <v>0</v>
      </c>
      <c r="G22" s="17"/>
      <c r="H22" s="17">
        <v>3</v>
      </c>
      <c r="I22" s="17" t="str">
        <f>INDEX(Products!$C$2:$C$31,MATCH(B22,Products!$A$2:$A$31,0))</f>
        <v>Milk</v>
      </c>
      <c r="J22" s="9">
        <f t="shared" si="0"/>
        <v>7</v>
      </c>
    </row>
    <row r="23" spans="1:10" ht="18" x14ac:dyDescent="0.2">
      <c r="A23" s="17">
        <v>412</v>
      </c>
      <c r="B23" s="17" t="s">
        <v>98</v>
      </c>
      <c r="C23" s="17" t="s">
        <v>180</v>
      </c>
      <c r="D23" s="17">
        <v>260</v>
      </c>
      <c r="E23" s="17">
        <v>260</v>
      </c>
      <c r="F23" s="17">
        <v>0</v>
      </c>
      <c r="G23" s="17"/>
      <c r="H23" s="17">
        <v>2</v>
      </c>
      <c r="I23" s="17" t="str">
        <f>INDEX(Products!$C$2:$C$31,MATCH(B23,Products!$A$2:$A$31,0))</f>
        <v>Milk</v>
      </c>
      <c r="J23" s="9">
        <f t="shared" si="0"/>
        <v>8</v>
      </c>
    </row>
    <row r="24" spans="1:10" ht="18" x14ac:dyDescent="0.2">
      <c r="A24" s="17">
        <v>413</v>
      </c>
      <c r="B24" s="17" t="s">
        <v>98</v>
      </c>
      <c r="C24" s="17" t="s">
        <v>181</v>
      </c>
      <c r="D24" s="17">
        <v>266</v>
      </c>
      <c r="E24" s="17">
        <v>266</v>
      </c>
      <c r="F24" s="17">
        <v>0</v>
      </c>
      <c r="G24" s="17"/>
      <c r="H24" s="17">
        <v>1</v>
      </c>
      <c r="I24" s="17" t="str">
        <f>INDEX(Products!$C$2:$C$31,MATCH(B24,Products!$A$2:$A$31,0))</f>
        <v>Milk</v>
      </c>
      <c r="J24" s="9">
        <f t="shared" si="0"/>
        <v>9</v>
      </c>
    </row>
    <row r="25" spans="1:10" ht="18" x14ac:dyDescent="0.2">
      <c r="A25" s="17">
        <v>414</v>
      </c>
      <c r="B25" s="17" t="s">
        <v>98</v>
      </c>
      <c r="C25" s="17" t="s">
        <v>182</v>
      </c>
      <c r="D25" s="17">
        <v>270</v>
      </c>
      <c r="E25" s="17">
        <v>270</v>
      </c>
      <c r="F25" s="17">
        <v>0</v>
      </c>
      <c r="G25" s="17"/>
      <c r="H25" s="17">
        <v>5</v>
      </c>
      <c r="I25" s="17" t="str">
        <f>INDEX(Products!$C$2:$C$31,MATCH(B25,Products!$A$2:$A$31,0))</f>
        <v>Milk</v>
      </c>
      <c r="J25" s="9">
        <f t="shared" si="0"/>
        <v>10</v>
      </c>
    </row>
    <row r="26" spans="1:10" ht="18" x14ac:dyDescent="0.2">
      <c r="A26" s="17">
        <v>415</v>
      </c>
      <c r="B26" s="17" t="s">
        <v>98</v>
      </c>
      <c r="C26" s="17" t="s">
        <v>183</v>
      </c>
      <c r="D26" s="17">
        <v>278</v>
      </c>
      <c r="E26" s="17">
        <v>278</v>
      </c>
      <c r="F26" s="17">
        <v>0</v>
      </c>
      <c r="G26" s="17"/>
      <c r="H26" s="17">
        <v>4</v>
      </c>
      <c r="I26" s="17" t="str">
        <f>INDEX(Products!$C$2:$C$31,MATCH(B26,Products!$A$2:$A$31,0))</f>
        <v>Milk</v>
      </c>
      <c r="J26" s="9">
        <f t="shared" si="0"/>
        <v>11</v>
      </c>
    </row>
    <row r="27" spans="1:10" ht="18" x14ac:dyDescent="0.2">
      <c r="A27" s="17">
        <v>416</v>
      </c>
      <c r="B27" s="17" t="s">
        <v>98</v>
      </c>
      <c r="C27" s="17" t="s">
        <v>184</v>
      </c>
      <c r="D27" s="17">
        <v>275</v>
      </c>
      <c r="E27" s="17">
        <v>275</v>
      </c>
      <c r="F27" s="17">
        <v>0</v>
      </c>
      <c r="G27" s="17"/>
      <c r="H27" s="17">
        <v>5</v>
      </c>
      <c r="I27" s="17" t="str">
        <f>INDEX(Products!$C$2:$C$31,MATCH(B27,Products!$A$2:$A$31,0))</f>
        <v>Milk</v>
      </c>
      <c r="J27" s="9">
        <f t="shared" si="0"/>
        <v>12</v>
      </c>
    </row>
    <row r="28" spans="1:10" ht="18" x14ac:dyDescent="0.2">
      <c r="A28" s="17">
        <v>417</v>
      </c>
      <c r="B28" s="17" t="s">
        <v>100</v>
      </c>
      <c r="C28" s="17" t="s">
        <v>171</v>
      </c>
      <c r="D28" s="17">
        <v>206</v>
      </c>
      <c r="E28" s="17">
        <v>206</v>
      </c>
      <c r="F28" s="17">
        <v>0</v>
      </c>
      <c r="G28" s="17"/>
      <c r="H28" s="17">
        <v>1</v>
      </c>
      <c r="I28" s="17" t="str">
        <f>INDEX(Products!$C$2:$C$31,MATCH(B28,Products!$A$2:$A$31,0))</f>
        <v>Milk</v>
      </c>
      <c r="J28" s="9">
        <f t="shared" si="0"/>
        <v>0</v>
      </c>
    </row>
    <row r="29" spans="1:10" ht="18" x14ac:dyDescent="0.2">
      <c r="A29" s="17">
        <v>418</v>
      </c>
      <c r="B29" s="17" t="s">
        <v>100</v>
      </c>
      <c r="C29" s="17" t="s">
        <v>173</v>
      </c>
      <c r="D29" s="17">
        <v>198</v>
      </c>
      <c r="E29" s="17">
        <v>198</v>
      </c>
      <c r="F29" s="17">
        <v>0</v>
      </c>
      <c r="G29" s="17"/>
      <c r="H29" s="17">
        <v>3</v>
      </c>
      <c r="I29" s="17" t="str">
        <f>INDEX(Products!$C$2:$C$31,MATCH(B29,Products!$A$2:$A$31,0))</f>
        <v>Milk</v>
      </c>
      <c r="J29" s="9">
        <f t="shared" si="0"/>
        <v>1</v>
      </c>
    </row>
    <row r="30" spans="1:10" ht="18" x14ac:dyDescent="0.2">
      <c r="A30" s="17">
        <v>419</v>
      </c>
      <c r="B30" s="17" t="s">
        <v>100</v>
      </c>
      <c r="C30" s="17" t="s">
        <v>174</v>
      </c>
      <c r="D30" s="17">
        <v>195</v>
      </c>
      <c r="E30" s="17">
        <v>195</v>
      </c>
      <c r="F30" s="17">
        <v>0</v>
      </c>
      <c r="G30" s="17"/>
      <c r="H30" s="17">
        <v>2</v>
      </c>
      <c r="I30" s="17" t="str">
        <f>INDEX(Products!$C$2:$C$31,MATCH(B30,Products!$A$2:$A$31,0))</f>
        <v>Milk</v>
      </c>
      <c r="J30" s="9">
        <f t="shared" si="0"/>
        <v>2</v>
      </c>
    </row>
    <row r="31" spans="1:10" ht="18" x14ac:dyDescent="0.2">
      <c r="A31" s="17">
        <v>420</v>
      </c>
      <c r="B31" s="17" t="s">
        <v>100</v>
      </c>
      <c r="C31" s="17" t="s">
        <v>175</v>
      </c>
      <c r="D31" s="17">
        <v>209</v>
      </c>
      <c r="E31" s="17">
        <v>209</v>
      </c>
      <c r="F31" s="17">
        <v>0</v>
      </c>
      <c r="G31" s="17"/>
      <c r="H31" s="17">
        <v>3</v>
      </c>
      <c r="I31" s="17" t="str">
        <f>INDEX(Products!$C$2:$C$31,MATCH(B31,Products!$A$2:$A$31,0))</f>
        <v>Milk</v>
      </c>
      <c r="J31" s="9">
        <f t="shared" si="0"/>
        <v>3</v>
      </c>
    </row>
    <row r="32" spans="1:10" ht="18" x14ac:dyDescent="0.2">
      <c r="A32" s="17">
        <v>421</v>
      </c>
      <c r="B32" s="17" t="s">
        <v>100</v>
      </c>
      <c r="C32" s="17" t="s">
        <v>176</v>
      </c>
      <c r="D32" s="17">
        <v>200</v>
      </c>
      <c r="E32" s="17">
        <v>200</v>
      </c>
      <c r="F32" s="17">
        <v>0</v>
      </c>
      <c r="G32" s="17"/>
      <c r="H32" s="17">
        <v>4</v>
      </c>
      <c r="I32" s="17" t="str">
        <f>INDEX(Products!$C$2:$C$31,MATCH(B32,Products!$A$2:$A$31,0))</f>
        <v>Milk</v>
      </c>
      <c r="J32" s="9">
        <f t="shared" si="0"/>
        <v>4</v>
      </c>
    </row>
    <row r="33" spans="1:10" ht="18" x14ac:dyDescent="0.2">
      <c r="A33" s="17">
        <v>422</v>
      </c>
      <c r="B33" s="17" t="s">
        <v>100</v>
      </c>
      <c r="C33" s="17" t="s">
        <v>177</v>
      </c>
      <c r="D33" s="17">
        <v>213</v>
      </c>
      <c r="E33" s="17">
        <v>213</v>
      </c>
      <c r="F33" s="17">
        <v>0</v>
      </c>
      <c r="G33" s="17"/>
      <c r="H33" s="17">
        <v>4</v>
      </c>
      <c r="I33" s="17" t="str">
        <f>INDEX(Products!$C$2:$C$31,MATCH(B33,Products!$A$2:$A$31,0))</f>
        <v>Milk</v>
      </c>
      <c r="J33" s="9">
        <f t="shared" si="0"/>
        <v>5</v>
      </c>
    </row>
    <row r="34" spans="1:10" ht="18" x14ac:dyDescent="0.2">
      <c r="A34" s="17">
        <v>423</v>
      </c>
      <c r="B34" s="17" t="s">
        <v>100</v>
      </c>
      <c r="C34" s="17" t="s">
        <v>178</v>
      </c>
      <c r="D34" s="17">
        <v>202</v>
      </c>
      <c r="E34" s="17">
        <v>202</v>
      </c>
      <c r="F34" s="17">
        <v>0</v>
      </c>
      <c r="G34" s="17"/>
      <c r="H34" s="17">
        <v>2</v>
      </c>
      <c r="I34" s="17" t="str">
        <f>INDEX(Products!$C$2:$C$31,MATCH(B34,Products!$A$2:$A$31,0))</f>
        <v>Milk</v>
      </c>
      <c r="J34" s="9">
        <f t="shared" si="0"/>
        <v>6</v>
      </c>
    </row>
    <row r="35" spans="1:10" ht="18" x14ac:dyDescent="0.2">
      <c r="A35" s="17">
        <v>424</v>
      </c>
      <c r="B35" s="17" t="s">
        <v>100</v>
      </c>
      <c r="C35" s="17" t="s">
        <v>179</v>
      </c>
      <c r="D35" s="17">
        <v>210</v>
      </c>
      <c r="E35" s="17">
        <v>210</v>
      </c>
      <c r="F35" s="17">
        <v>0</v>
      </c>
      <c r="G35" s="17"/>
      <c r="H35" s="17">
        <v>3</v>
      </c>
      <c r="I35" s="17" t="str">
        <f>INDEX(Products!$C$2:$C$31,MATCH(B35,Products!$A$2:$A$31,0))</f>
        <v>Milk</v>
      </c>
      <c r="J35" s="9">
        <f t="shared" si="0"/>
        <v>7</v>
      </c>
    </row>
    <row r="36" spans="1:10" ht="18" x14ac:dyDescent="0.2">
      <c r="A36" s="17">
        <v>425</v>
      </c>
      <c r="B36" s="17" t="s">
        <v>100</v>
      </c>
      <c r="C36" s="17" t="s">
        <v>180</v>
      </c>
      <c r="D36" s="17">
        <v>218</v>
      </c>
      <c r="E36" s="17">
        <v>218</v>
      </c>
      <c r="F36" s="17">
        <v>0</v>
      </c>
      <c r="G36" s="17"/>
      <c r="H36" s="17">
        <v>5</v>
      </c>
      <c r="I36" s="17" t="str">
        <f>INDEX(Products!$C$2:$C$31,MATCH(B36,Products!$A$2:$A$31,0))</f>
        <v>Milk</v>
      </c>
      <c r="J36" s="9">
        <f t="shared" si="0"/>
        <v>8</v>
      </c>
    </row>
    <row r="37" spans="1:10" ht="18" x14ac:dyDescent="0.2">
      <c r="A37" s="17">
        <v>426</v>
      </c>
      <c r="B37" s="17" t="s">
        <v>100</v>
      </c>
      <c r="C37" s="17" t="s">
        <v>181</v>
      </c>
      <c r="D37" s="17">
        <v>215</v>
      </c>
      <c r="E37" s="17">
        <v>215</v>
      </c>
      <c r="F37" s="17">
        <v>0</v>
      </c>
      <c r="G37" s="17"/>
      <c r="H37" s="17">
        <v>2</v>
      </c>
      <c r="I37" s="17" t="str">
        <f>INDEX(Products!$C$2:$C$31,MATCH(B37,Products!$A$2:$A$31,0))</f>
        <v>Milk</v>
      </c>
      <c r="J37" s="9">
        <f t="shared" si="0"/>
        <v>9</v>
      </c>
    </row>
    <row r="38" spans="1:10" ht="18" x14ac:dyDescent="0.2">
      <c r="A38" s="17">
        <v>427</v>
      </c>
      <c r="B38" s="17" t="s">
        <v>100</v>
      </c>
      <c r="C38" s="17" t="s">
        <v>182</v>
      </c>
      <c r="D38" s="17">
        <v>216</v>
      </c>
      <c r="E38" s="17">
        <v>216</v>
      </c>
      <c r="F38" s="17">
        <v>0</v>
      </c>
      <c r="G38" s="17"/>
      <c r="H38" s="17">
        <v>1</v>
      </c>
      <c r="I38" s="17" t="str">
        <f>INDEX(Products!$C$2:$C$31,MATCH(B38,Products!$A$2:$A$31,0))</f>
        <v>Milk</v>
      </c>
      <c r="J38" s="9">
        <f t="shared" si="0"/>
        <v>10</v>
      </c>
    </row>
    <row r="39" spans="1:10" ht="18" x14ac:dyDescent="0.2">
      <c r="A39" s="17">
        <v>428</v>
      </c>
      <c r="B39" s="17" t="s">
        <v>100</v>
      </c>
      <c r="C39" s="17" t="s">
        <v>183</v>
      </c>
      <c r="D39" s="17">
        <v>228</v>
      </c>
      <c r="E39" s="17">
        <v>228</v>
      </c>
      <c r="F39" s="17">
        <v>0</v>
      </c>
      <c r="G39" s="17"/>
      <c r="H39" s="17">
        <v>2</v>
      </c>
      <c r="I39" s="17" t="str">
        <f>INDEX(Products!$C$2:$C$31,MATCH(B39,Products!$A$2:$A$31,0))</f>
        <v>Milk</v>
      </c>
      <c r="J39" s="9">
        <f t="shared" si="0"/>
        <v>11</v>
      </c>
    </row>
    <row r="40" spans="1:10" ht="18" x14ac:dyDescent="0.2">
      <c r="A40" s="17">
        <v>429</v>
      </c>
      <c r="B40" s="17" t="s">
        <v>100</v>
      </c>
      <c r="C40" s="17" t="s">
        <v>184</v>
      </c>
      <c r="D40" s="17">
        <v>238</v>
      </c>
      <c r="E40" s="17">
        <v>238</v>
      </c>
      <c r="F40" s="17">
        <v>0</v>
      </c>
      <c r="G40" s="17"/>
      <c r="H40" s="17">
        <v>5</v>
      </c>
      <c r="I40" s="17" t="str">
        <f>INDEX(Products!$C$2:$C$31,MATCH(B40,Products!$A$2:$A$31,0))</f>
        <v>Milk</v>
      </c>
      <c r="J40" s="9">
        <f t="shared" si="0"/>
        <v>12</v>
      </c>
    </row>
    <row r="41" spans="1:10" ht="18" x14ac:dyDescent="0.2">
      <c r="A41" s="17">
        <v>430</v>
      </c>
      <c r="B41" s="17" t="s">
        <v>102</v>
      </c>
      <c r="C41" s="17" t="s">
        <v>171</v>
      </c>
      <c r="D41" s="17">
        <v>117</v>
      </c>
      <c r="E41" s="17">
        <v>117</v>
      </c>
      <c r="F41" s="17">
        <v>0</v>
      </c>
      <c r="G41" s="17"/>
      <c r="H41" s="17">
        <v>4</v>
      </c>
      <c r="I41" s="17" t="str">
        <f>INDEX(Products!$C$2:$C$31,MATCH(B41,Products!$A$2:$A$31,0))</f>
        <v>Milk</v>
      </c>
      <c r="J41" s="9">
        <f t="shared" si="0"/>
        <v>0</v>
      </c>
    </row>
    <row r="42" spans="1:10" ht="18" x14ac:dyDescent="0.2">
      <c r="A42" s="17">
        <v>431</v>
      </c>
      <c r="B42" s="17" t="s">
        <v>102</v>
      </c>
      <c r="C42" s="17" t="s">
        <v>173</v>
      </c>
      <c r="D42" s="17">
        <v>118</v>
      </c>
      <c r="E42" s="17">
        <v>118</v>
      </c>
      <c r="F42" s="17">
        <v>0</v>
      </c>
      <c r="G42" s="17"/>
      <c r="H42" s="17">
        <v>5</v>
      </c>
      <c r="I42" s="17" t="str">
        <f>INDEX(Products!$C$2:$C$31,MATCH(B42,Products!$A$2:$A$31,0))</f>
        <v>Milk</v>
      </c>
      <c r="J42" s="9">
        <f t="shared" si="0"/>
        <v>1</v>
      </c>
    </row>
    <row r="43" spans="1:10" ht="18" x14ac:dyDescent="0.2">
      <c r="A43" s="17">
        <v>432</v>
      </c>
      <c r="B43" s="17" t="s">
        <v>102</v>
      </c>
      <c r="C43" s="17" t="s">
        <v>174</v>
      </c>
      <c r="D43" s="17">
        <v>130</v>
      </c>
      <c r="E43" s="17">
        <v>130</v>
      </c>
      <c r="F43" s="17">
        <v>0</v>
      </c>
      <c r="G43" s="17"/>
      <c r="H43" s="17">
        <v>1</v>
      </c>
      <c r="I43" s="17" t="str">
        <f>INDEX(Products!$C$2:$C$31,MATCH(B43,Products!$A$2:$A$31,0))</f>
        <v>Milk</v>
      </c>
      <c r="J43" s="9">
        <f t="shared" si="0"/>
        <v>2</v>
      </c>
    </row>
    <row r="44" spans="1:10" ht="18" x14ac:dyDescent="0.2">
      <c r="A44" s="17">
        <v>433</v>
      </c>
      <c r="B44" s="17" t="s">
        <v>102</v>
      </c>
      <c r="C44" s="17" t="s">
        <v>175</v>
      </c>
      <c r="D44" s="17">
        <v>136</v>
      </c>
      <c r="E44" s="17">
        <v>136</v>
      </c>
      <c r="F44" s="17">
        <v>0</v>
      </c>
      <c r="G44" s="17"/>
      <c r="H44" s="17">
        <v>3</v>
      </c>
      <c r="I44" s="17" t="str">
        <f>INDEX(Products!$C$2:$C$31,MATCH(B44,Products!$A$2:$A$31,0))</f>
        <v>Milk</v>
      </c>
      <c r="J44" s="9">
        <f t="shared" si="0"/>
        <v>3</v>
      </c>
    </row>
    <row r="45" spans="1:10" ht="18" x14ac:dyDescent="0.2">
      <c r="A45" s="17">
        <v>434</v>
      </c>
      <c r="B45" s="17" t="s">
        <v>102</v>
      </c>
      <c r="C45" s="17" t="s">
        <v>176</v>
      </c>
      <c r="D45" s="17">
        <v>145</v>
      </c>
      <c r="E45" s="17">
        <v>145</v>
      </c>
      <c r="F45" s="17">
        <v>0</v>
      </c>
      <c r="G45" s="17"/>
      <c r="H45" s="17">
        <v>1</v>
      </c>
      <c r="I45" s="17" t="str">
        <f>INDEX(Products!$C$2:$C$31,MATCH(B45,Products!$A$2:$A$31,0))</f>
        <v>Milk</v>
      </c>
      <c r="J45" s="9">
        <f t="shared" si="0"/>
        <v>4</v>
      </c>
    </row>
    <row r="46" spans="1:10" ht="18" x14ac:dyDescent="0.2">
      <c r="A46" s="17">
        <v>435</v>
      </c>
      <c r="B46" s="17" t="s">
        <v>102</v>
      </c>
      <c r="C46" s="17" t="s">
        <v>177</v>
      </c>
      <c r="D46" s="17">
        <v>139</v>
      </c>
      <c r="E46" s="17">
        <v>139</v>
      </c>
      <c r="F46" s="17">
        <v>0</v>
      </c>
      <c r="G46" s="17"/>
      <c r="H46" s="17">
        <v>4</v>
      </c>
      <c r="I46" s="17" t="str">
        <f>INDEX(Products!$C$2:$C$31,MATCH(B46,Products!$A$2:$A$31,0))</f>
        <v>Milk</v>
      </c>
      <c r="J46" s="9">
        <f t="shared" si="0"/>
        <v>5</v>
      </c>
    </row>
    <row r="47" spans="1:10" ht="18" x14ac:dyDescent="0.2">
      <c r="A47" s="17">
        <v>436</v>
      </c>
      <c r="B47" s="17" t="s">
        <v>102</v>
      </c>
      <c r="C47" s="17" t="s">
        <v>178</v>
      </c>
      <c r="D47" s="17">
        <v>124</v>
      </c>
      <c r="E47" s="17">
        <v>124</v>
      </c>
      <c r="F47" s="17">
        <v>0</v>
      </c>
      <c r="G47" s="17"/>
      <c r="H47" s="17">
        <v>3</v>
      </c>
      <c r="I47" s="17" t="str">
        <f>INDEX(Products!$C$2:$C$31,MATCH(B47,Products!$A$2:$A$31,0))</f>
        <v>Milk</v>
      </c>
      <c r="J47" s="9">
        <f t="shared" si="0"/>
        <v>6</v>
      </c>
    </row>
    <row r="48" spans="1:10" ht="18" x14ac:dyDescent="0.2">
      <c r="A48" s="17">
        <v>437</v>
      </c>
      <c r="B48" s="17" t="s">
        <v>102</v>
      </c>
      <c r="C48" s="17" t="s">
        <v>179</v>
      </c>
      <c r="D48" s="17">
        <v>125</v>
      </c>
      <c r="E48" s="17">
        <v>125</v>
      </c>
      <c r="F48" s="17">
        <v>0</v>
      </c>
      <c r="G48" s="17"/>
      <c r="H48" s="17">
        <v>5</v>
      </c>
      <c r="I48" s="17" t="str">
        <f>INDEX(Products!$C$2:$C$31,MATCH(B48,Products!$A$2:$A$31,0))</f>
        <v>Milk</v>
      </c>
      <c r="J48" s="9">
        <f t="shared" si="0"/>
        <v>7</v>
      </c>
    </row>
    <row r="49" spans="1:10" ht="18" x14ac:dyDescent="0.2">
      <c r="A49" s="17">
        <v>438</v>
      </c>
      <c r="B49" s="17" t="s">
        <v>102</v>
      </c>
      <c r="C49" s="17" t="s">
        <v>180</v>
      </c>
      <c r="D49" s="17">
        <v>139</v>
      </c>
      <c r="E49" s="17">
        <v>138</v>
      </c>
      <c r="F49" s="17">
        <v>-1</v>
      </c>
      <c r="G49" s="17" t="s">
        <v>185</v>
      </c>
      <c r="H49" s="17">
        <v>5</v>
      </c>
      <c r="I49" s="17" t="str">
        <f>INDEX(Products!$C$2:$C$31,MATCH(B49,Products!$A$2:$A$31,0))</f>
        <v>Milk</v>
      </c>
      <c r="J49" s="9">
        <f t="shared" si="0"/>
        <v>8</v>
      </c>
    </row>
    <row r="50" spans="1:10" ht="18" x14ac:dyDescent="0.2">
      <c r="A50" s="17">
        <v>439</v>
      </c>
      <c r="B50" s="17" t="s">
        <v>102</v>
      </c>
      <c r="C50" s="17" t="s">
        <v>181</v>
      </c>
      <c r="D50" s="17">
        <v>143</v>
      </c>
      <c r="E50" s="17">
        <v>143</v>
      </c>
      <c r="F50" s="17">
        <v>0</v>
      </c>
      <c r="G50" s="17"/>
      <c r="H50" s="17">
        <v>3</v>
      </c>
      <c r="I50" s="17" t="str">
        <f>INDEX(Products!$C$2:$C$31,MATCH(B50,Products!$A$2:$A$31,0))</f>
        <v>Milk</v>
      </c>
      <c r="J50" s="9">
        <f t="shared" si="0"/>
        <v>9</v>
      </c>
    </row>
    <row r="51" spans="1:10" ht="18" x14ac:dyDescent="0.2">
      <c r="A51" s="17">
        <v>440</v>
      </c>
      <c r="B51" s="17" t="s">
        <v>102</v>
      </c>
      <c r="C51" s="17" t="s">
        <v>182</v>
      </c>
      <c r="D51" s="17">
        <v>152</v>
      </c>
      <c r="E51" s="17">
        <v>152</v>
      </c>
      <c r="F51" s="17">
        <v>0</v>
      </c>
      <c r="G51" s="17"/>
      <c r="H51" s="17">
        <v>5</v>
      </c>
      <c r="I51" s="17" t="str">
        <f>INDEX(Products!$C$2:$C$31,MATCH(B51,Products!$A$2:$A$31,0))</f>
        <v>Milk</v>
      </c>
      <c r="J51" s="9">
        <f t="shared" si="0"/>
        <v>10</v>
      </c>
    </row>
    <row r="52" spans="1:10" ht="18" x14ac:dyDescent="0.2">
      <c r="A52" s="17">
        <v>441</v>
      </c>
      <c r="B52" s="17" t="s">
        <v>102</v>
      </c>
      <c r="C52" s="17" t="s">
        <v>183</v>
      </c>
      <c r="D52" s="17">
        <v>166</v>
      </c>
      <c r="E52" s="17">
        <v>165</v>
      </c>
      <c r="F52" s="17">
        <v>-1</v>
      </c>
      <c r="G52" s="17" t="s">
        <v>186</v>
      </c>
      <c r="H52" s="17">
        <v>1</v>
      </c>
      <c r="I52" s="17" t="str">
        <f>INDEX(Products!$C$2:$C$31,MATCH(B52,Products!$A$2:$A$31,0))</f>
        <v>Milk</v>
      </c>
      <c r="J52" s="9">
        <f t="shared" si="0"/>
        <v>11</v>
      </c>
    </row>
    <row r="53" spans="1:10" ht="18" x14ac:dyDescent="0.2">
      <c r="A53" s="17">
        <v>442</v>
      </c>
      <c r="B53" s="17" t="s">
        <v>102</v>
      </c>
      <c r="C53" s="17" t="s">
        <v>184</v>
      </c>
      <c r="D53" s="17">
        <v>180</v>
      </c>
      <c r="E53" s="17">
        <v>180</v>
      </c>
      <c r="F53" s="17">
        <v>0</v>
      </c>
      <c r="G53" s="17"/>
      <c r="H53" s="17">
        <v>3</v>
      </c>
      <c r="I53" s="17" t="str">
        <f>INDEX(Products!$C$2:$C$31,MATCH(B53,Products!$A$2:$A$31,0))</f>
        <v>Milk</v>
      </c>
      <c r="J53" s="9">
        <f t="shared" si="0"/>
        <v>12</v>
      </c>
    </row>
    <row r="54" spans="1:10" ht="18" x14ac:dyDescent="0.2">
      <c r="A54" s="17">
        <v>443</v>
      </c>
      <c r="B54" s="17" t="s">
        <v>104</v>
      </c>
      <c r="C54" s="17" t="s">
        <v>171</v>
      </c>
      <c r="D54" s="17">
        <v>66</v>
      </c>
      <c r="E54" s="17">
        <v>66</v>
      </c>
      <c r="F54" s="17">
        <v>0</v>
      </c>
      <c r="G54" s="17"/>
      <c r="H54" s="17">
        <v>5</v>
      </c>
      <c r="I54" s="17" t="str">
        <f>INDEX(Products!$C$2:$C$31,MATCH(B54,Products!$A$2:$A$31,0))</f>
        <v>Cheese</v>
      </c>
      <c r="J54" s="9">
        <f t="shared" si="0"/>
        <v>0</v>
      </c>
    </row>
    <row r="55" spans="1:10" ht="18" x14ac:dyDescent="0.2">
      <c r="A55" s="17">
        <v>444</v>
      </c>
      <c r="B55" s="17" t="s">
        <v>104</v>
      </c>
      <c r="C55" s="17" t="s">
        <v>173</v>
      </c>
      <c r="D55" s="17">
        <v>81</v>
      </c>
      <c r="E55" s="17">
        <v>81</v>
      </c>
      <c r="F55" s="17">
        <v>0</v>
      </c>
      <c r="G55" s="17"/>
      <c r="H55" s="17">
        <v>4</v>
      </c>
      <c r="I55" s="17" t="str">
        <f>INDEX(Products!$C$2:$C$31,MATCH(B55,Products!$A$2:$A$31,0))</f>
        <v>Cheese</v>
      </c>
      <c r="J55" s="9">
        <f t="shared" si="0"/>
        <v>1</v>
      </c>
    </row>
    <row r="56" spans="1:10" ht="18" x14ac:dyDescent="0.2">
      <c r="A56" s="17">
        <v>445</v>
      </c>
      <c r="B56" s="17" t="s">
        <v>104</v>
      </c>
      <c r="C56" s="17" t="s">
        <v>174</v>
      </c>
      <c r="D56" s="17">
        <v>92</v>
      </c>
      <c r="E56" s="17">
        <v>92</v>
      </c>
      <c r="F56" s="17">
        <v>0</v>
      </c>
      <c r="G56" s="17"/>
      <c r="H56" s="17">
        <v>5</v>
      </c>
      <c r="I56" s="17" t="str">
        <f>INDEX(Products!$C$2:$C$31,MATCH(B56,Products!$A$2:$A$31,0))</f>
        <v>Cheese</v>
      </c>
      <c r="J56" s="9">
        <f t="shared" si="0"/>
        <v>2</v>
      </c>
    </row>
    <row r="57" spans="1:10" ht="18" x14ac:dyDescent="0.2">
      <c r="A57" s="17">
        <v>446</v>
      </c>
      <c r="B57" s="17" t="s">
        <v>104</v>
      </c>
      <c r="C57" s="17" t="s">
        <v>175</v>
      </c>
      <c r="D57" s="17">
        <v>101</v>
      </c>
      <c r="E57" s="17">
        <v>101</v>
      </c>
      <c r="F57" s="17">
        <v>0</v>
      </c>
      <c r="G57" s="17"/>
      <c r="H57" s="17">
        <v>4</v>
      </c>
      <c r="I57" s="17" t="str">
        <f>INDEX(Products!$C$2:$C$31,MATCH(B57,Products!$A$2:$A$31,0))</f>
        <v>Cheese</v>
      </c>
      <c r="J57" s="9">
        <f t="shared" si="0"/>
        <v>3</v>
      </c>
    </row>
    <row r="58" spans="1:10" ht="18" x14ac:dyDescent="0.2">
      <c r="A58" s="17">
        <v>447</v>
      </c>
      <c r="B58" s="17" t="s">
        <v>104</v>
      </c>
      <c r="C58" s="17" t="s">
        <v>176</v>
      </c>
      <c r="D58" s="17">
        <v>116</v>
      </c>
      <c r="E58" s="17">
        <v>116</v>
      </c>
      <c r="F58" s="17">
        <v>0</v>
      </c>
      <c r="G58" s="17"/>
      <c r="H58" s="17">
        <v>3</v>
      </c>
      <c r="I58" s="17" t="str">
        <f>INDEX(Products!$C$2:$C$31,MATCH(B58,Products!$A$2:$A$31,0))</f>
        <v>Cheese</v>
      </c>
      <c r="J58" s="9">
        <f t="shared" si="0"/>
        <v>4</v>
      </c>
    </row>
    <row r="59" spans="1:10" ht="18" x14ac:dyDescent="0.2">
      <c r="A59" s="17">
        <v>448</v>
      </c>
      <c r="B59" s="17" t="s">
        <v>104</v>
      </c>
      <c r="C59" s="17" t="s">
        <v>177</v>
      </c>
      <c r="D59" s="17">
        <v>117</v>
      </c>
      <c r="E59" s="17">
        <v>117</v>
      </c>
      <c r="F59" s="17">
        <v>0</v>
      </c>
      <c r="G59" s="17"/>
      <c r="H59" s="17">
        <v>4</v>
      </c>
      <c r="I59" s="17" t="str">
        <f>INDEX(Products!$C$2:$C$31,MATCH(B59,Products!$A$2:$A$31,0))</f>
        <v>Cheese</v>
      </c>
      <c r="J59" s="9">
        <f t="shared" si="0"/>
        <v>5</v>
      </c>
    </row>
    <row r="60" spans="1:10" ht="18" x14ac:dyDescent="0.2">
      <c r="A60" s="17">
        <v>449</v>
      </c>
      <c r="B60" s="17" t="s">
        <v>104</v>
      </c>
      <c r="C60" s="17" t="s">
        <v>178</v>
      </c>
      <c r="D60" s="17">
        <v>132</v>
      </c>
      <c r="E60" s="17">
        <v>132</v>
      </c>
      <c r="F60" s="17">
        <v>0</v>
      </c>
      <c r="G60" s="17"/>
      <c r="H60" s="17">
        <v>5</v>
      </c>
      <c r="I60" s="17" t="str">
        <f>INDEX(Products!$C$2:$C$31,MATCH(B60,Products!$A$2:$A$31,0))</f>
        <v>Cheese</v>
      </c>
      <c r="J60" s="9">
        <f t="shared" si="0"/>
        <v>6</v>
      </c>
    </row>
    <row r="61" spans="1:10" ht="18" x14ac:dyDescent="0.2">
      <c r="A61" s="17">
        <v>450</v>
      </c>
      <c r="B61" s="17" t="s">
        <v>104</v>
      </c>
      <c r="C61" s="17" t="s">
        <v>179</v>
      </c>
      <c r="D61" s="17">
        <v>141</v>
      </c>
      <c r="E61" s="17">
        <v>141</v>
      </c>
      <c r="F61" s="17">
        <v>0</v>
      </c>
      <c r="G61" s="17"/>
      <c r="H61" s="17">
        <v>2</v>
      </c>
      <c r="I61" s="17" t="str">
        <f>INDEX(Products!$C$2:$C$31,MATCH(B61,Products!$A$2:$A$31,0))</f>
        <v>Cheese</v>
      </c>
      <c r="J61" s="9">
        <f t="shared" si="0"/>
        <v>7</v>
      </c>
    </row>
    <row r="62" spans="1:10" ht="18" x14ac:dyDescent="0.2">
      <c r="A62" s="17">
        <v>451</v>
      </c>
      <c r="B62" s="17" t="s">
        <v>104</v>
      </c>
      <c r="C62" s="17" t="s">
        <v>180</v>
      </c>
      <c r="D62" s="17">
        <v>148</v>
      </c>
      <c r="E62" s="17">
        <v>148</v>
      </c>
      <c r="F62" s="17">
        <v>0</v>
      </c>
      <c r="G62" s="17"/>
      <c r="H62" s="17">
        <v>3</v>
      </c>
      <c r="I62" s="17" t="str">
        <f>INDEX(Products!$C$2:$C$31,MATCH(B62,Products!$A$2:$A$31,0))</f>
        <v>Cheese</v>
      </c>
      <c r="J62" s="9">
        <f t="shared" si="0"/>
        <v>8</v>
      </c>
    </row>
    <row r="63" spans="1:10" ht="18" x14ac:dyDescent="0.2">
      <c r="A63" s="17">
        <v>452</v>
      </c>
      <c r="B63" s="17" t="s">
        <v>104</v>
      </c>
      <c r="C63" s="17" t="s">
        <v>181</v>
      </c>
      <c r="D63" s="17">
        <v>147</v>
      </c>
      <c r="E63" s="17">
        <v>147</v>
      </c>
      <c r="F63" s="17">
        <v>0</v>
      </c>
      <c r="G63" s="17"/>
      <c r="H63" s="17">
        <v>4</v>
      </c>
      <c r="I63" s="17" t="str">
        <f>INDEX(Products!$C$2:$C$31,MATCH(B63,Products!$A$2:$A$31,0))</f>
        <v>Cheese</v>
      </c>
      <c r="J63" s="9">
        <f t="shared" si="0"/>
        <v>9</v>
      </c>
    </row>
    <row r="64" spans="1:10" ht="18" x14ac:dyDescent="0.2">
      <c r="A64" s="17">
        <v>453</v>
      </c>
      <c r="B64" s="17" t="s">
        <v>104</v>
      </c>
      <c r="C64" s="17" t="s">
        <v>182</v>
      </c>
      <c r="D64" s="17">
        <v>135</v>
      </c>
      <c r="E64" s="17">
        <v>135</v>
      </c>
      <c r="F64" s="17">
        <v>0</v>
      </c>
      <c r="G64" s="17"/>
      <c r="H64" s="17">
        <v>1</v>
      </c>
      <c r="I64" s="17" t="str">
        <f>INDEX(Products!$C$2:$C$31,MATCH(B64,Products!$A$2:$A$31,0))</f>
        <v>Cheese</v>
      </c>
      <c r="J64" s="9">
        <f t="shared" si="0"/>
        <v>10</v>
      </c>
    </row>
    <row r="65" spans="1:10" ht="18" x14ac:dyDescent="0.2">
      <c r="A65" s="17">
        <v>454</v>
      </c>
      <c r="B65" s="17" t="s">
        <v>104</v>
      </c>
      <c r="C65" s="17" t="s">
        <v>183</v>
      </c>
      <c r="D65" s="17">
        <v>130</v>
      </c>
      <c r="E65" s="17">
        <v>132</v>
      </c>
      <c r="F65" s="17">
        <v>2</v>
      </c>
      <c r="G65" s="17" t="s">
        <v>172</v>
      </c>
      <c r="H65" s="17">
        <v>2</v>
      </c>
      <c r="I65" s="17" t="str">
        <f>INDEX(Products!$C$2:$C$31,MATCH(B65,Products!$A$2:$A$31,0))</f>
        <v>Cheese</v>
      </c>
      <c r="J65" s="9">
        <f t="shared" si="0"/>
        <v>11</v>
      </c>
    </row>
    <row r="66" spans="1:10" ht="18" x14ac:dyDescent="0.2">
      <c r="A66" s="17">
        <v>455</v>
      </c>
      <c r="B66" s="17" t="s">
        <v>104</v>
      </c>
      <c r="C66" s="17" t="s">
        <v>184</v>
      </c>
      <c r="D66" s="17">
        <v>115</v>
      </c>
      <c r="E66" s="17">
        <v>115</v>
      </c>
      <c r="F66" s="17">
        <v>0</v>
      </c>
      <c r="G66" s="17"/>
      <c r="H66" s="17">
        <v>1</v>
      </c>
      <c r="I66" s="17" t="str">
        <f>INDEX(Products!$C$2:$C$31,MATCH(B66,Products!$A$2:$A$31,0))</f>
        <v>Cheese</v>
      </c>
      <c r="J66" s="9">
        <f t="shared" ref="J66:J129" si="1">INT((DATEVALUE(C66)-DATE(2026,4,6))/7)</f>
        <v>12</v>
      </c>
    </row>
    <row r="67" spans="1:10" ht="18" x14ac:dyDescent="0.2">
      <c r="A67" s="17">
        <v>456</v>
      </c>
      <c r="B67" s="17" t="s">
        <v>107</v>
      </c>
      <c r="C67" s="17" t="s">
        <v>171</v>
      </c>
      <c r="D67" s="17">
        <v>57</v>
      </c>
      <c r="E67" s="17">
        <v>57</v>
      </c>
      <c r="F67" s="17">
        <v>0</v>
      </c>
      <c r="G67" s="17"/>
      <c r="H67" s="17">
        <v>3</v>
      </c>
      <c r="I67" s="17" t="str">
        <f>INDEX(Products!$C$2:$C$31,MATCH(B67,Products!$A$2:$A$31,0))</f>
        <v>Cheese</v>
      </c>
      <c r="J67" s="9">
        <f t="shared" si="1"/>
        <v>0</v>
      </c>
    </row>
    <row r="68" spans="1:10" ht="18" x14ac:dyDescent="0.2">
      <c r="A68" s="17">
        <v>457</v>
      </c>
      <c r="B68" s="17" t="s">
        <v>107</v>
      </c>
      <c r="C68" s="17" t="s">
        <v>173</v>
      </c>
      <c r="D68" s="17">
        <v>44</v>
      </c>
      <c r="E68" s="17">
        <v>44</v>
      </c>
      <c r="F68" s="17">
        <v>0</v>
      </c>
      <c r="G68" s="17"/>
      <c r="H68" s="17">
        <v>3</v>
      </c>
      <c r="I68" s="17" t="str">
        <f>INDEX(Products!$C$2:$C$31,MATCH(B68,Products!$A$2:$A$31,0))</f>
        <v>Cheese</v>
      </c>
      <c r="J68" s="9">
        <f t="shared" si="1"/>
        <v>1</v>
      </c>
    </row>
    <row r="69" spans="1:10" ht="18" x14ac:dyDescent="0.2">
      <c r="A69" s="17">
        <v>458</v>
      </c>
      <c r="B69" s="17" t="s">
        <v>107</v>
      </c>
      <c r="C69" s="17" t="s">
        <v>174</v>
      </c>
      <c r="D69" s="17">
        <v>50</v>
      </c>
      <c r="E69" s="17">
        <v>50</v>
      </c>
      <c r="F69" s="17">
        <v>0</v>
      </c>
      <c r="G69" s="17"/>
      <c r="H69" s="17">
        <v>5</v>
      </c>
      <c r="I69" s="17" t="str">
        <f>INDEX(Products!$C$2:$C$31,MATCH(B69,Products!$A$2:$A$31,0))</f>
        <v>Cheese</v>
      </c>
      <c r="J69" s="9">
        <f t="shared" si="1"/>
        <v>2</v>
      </c>
    </row>
    <row r="70" spans="1:10" ht="18" x14ac:dyDescent="0.2">
      <c r="A70" s="17">
        <v>459</v>
      </c>
      <c r="B70" s="17" t="s">
        <v>107</v>
      </c>
      <c r="C70" s="17" t="s">
        <v>175</v>
      </c>
      <c r="D70" s="17">
        <v>39</v>
      </c>
      <c r="E70" s="17">
        <v>39</v>
      </c>
      <c r="F70" s="17">
        <v>0</v>
      </c>
      <c r="G70" s="17"/>
      <c r="H70" s="17">
        <v>5</v>
      </c>
      <c r="I70" s="17" t="str">
        <f>INDEX(Products!$C$2:$C$31,MATCH(B70,Products!$A$2:$A$31,0))</f>
        <v>Cheese</v>
      </c>
      <c r="J70" s="9">
        <f t="shared" si="1"/>
        <v>3</v>
      </c>
    </row>
    <row r="71" spans="1:10" ht="18" x14ac:dyDescent="0.2">
      <c r="A71" s="17">
        <v>460</v>
      </c>
      <c r="B71" s="17" t="s">
        <v>107</v>
      </c>
      <c r="C71" s="17" t="s">
        <v>176</v>
      </c>
      <c r="D71" s="17">
        <v>42</v>
      </c>
      <c r="E71" s="17">
        <v>42</v>
      </c>
      <c r="F71" s="17">
        <v>0</v>
      </c>
      <c r="G71" s="17"/>
      <c r="H71" s="17">
        <v>4</v>
      </c>
      <c r="I71" s="17" t="str">
        <f>INDEX(Products!$C$2:$C$31,MATCH(B71,Products!$A$2:$A$31,0))</f>
        <v>Cheese</v>
      </c>
      <c r="J71" s="9">
        <f t="shared" si="1"/>
        <v>4</v>
      </c>
    </row>
    <row r="72" spans="1:10" ht="18" x14ac:dyDescent="0.2">
      <c r="A72" s="17">
        <v>461</v>
      </c>
      <c r="B72" s="17" t="s">
        <v>107</v>
      </c>
      <c r="C72" s="17" t="s">
        <v>177</v>
      </c>
      <c r="D72" s="17">
        <v>52</v>
      </c>
      <c r="E72" s="17">
        <v>52</v>
      </c>
      <c r="F72" s="17">
        <v>0</v>
      </c>
      <c r="G72" s="17"/>
      <c r="H72" s="17">
        <v>1</v>
      </c>
      <c r="I72" s="17" t="str">
        <f>INDEX(Products!$C$2:$C$31,MATCH(B72,Products!$A$2:$A$31,0))</f>
        <v>Cheese</v>
      </c>
      <c r="J72" s="9">
        <f t="shared" si="1"/>
        <v>5</v>
      </c>
    </row>
    <row r="73" spans="1:10" ht="18" x14ac:dyDescent="0.2">
      <c r="A73" s="17">
        <v>462</v>
      </c>
      <c r="B73" s="17" t="s">
        <v>107</v>
      </c>
      <c r="C73" s="17" t="s">
        <v>178</v>
      </c>
      <c r="D73" s="17">
        <v>40</v>
      </c>
      <c r="E73" s="17">
        <v>40</v>
      </c>
      <c r="F73" s="17">
        <v>0</v>
      </c>
      <c r="G73" s="17"/>
      <c r="H73" s="17">
        <v>3</v>
      </c>
      <c r="I73" s="17" t="str">
        <f>INDEX(Products!$C$2:$C$31,MATCH(B73,Products!$A$2:$A$31,0))</f>
        <v>Cheese</v>
      </c>
      <c r="J73" s="9">
        <f t="shared" si="1"/>
        <v>6</v>
      </c>
    </row>
    <row r="74" spans="1:10" ht="18" x14ac:dyDescent="0.2">
      <c r="A74" s="17">
        <v>463</v>
      </c>
      <c r="B74" s="17" t="s">
        <v>107</v>
      </c>
      <c r="C74" s="17" t="s">
        <v>179</v>
      </c>
      <c r="D74" s="17">
        <v>38</v>
      </c>
      <c r="E74" s="17">
        <v>38</v>
      </c>
      <c r="F74" s="17">
        <v>0</v>
      </c>
      <c r="G74" s="17"/>
      <c r="H74" s="17">
        <v>1</v>
      </c>
      <c r="I74" s="17" t="str">
        <f>INDEX(Products!$C$2:$C$31,MATCH(B74,Products!$A$2:$A$31,0))</f>
        <v>Cheese</v>
      </c>
      <c r="J74" s="9">
        <f t="shared" si="1"/>
        <v>7</v>
      </c>
    </row>
    <row r="75" spans="1:10" ht="18" x14ac:dyDescent="0.2">
      <c r="A75" s="17">
        <v>464</v>
      </c>
      <c r="B75" s="17" t="s">
        <v>107</v>
      </c>
      <c r="C75" s="17" t="s">
        <v>180</v>
      </c>
      <c r="D75" s="17">
        <v>44</v>
      </c>
      <c r="E75" s="17">
        <v>44</v>
      </c>
      <c r="F75" s="17">
        <v>0</v>
      </c>
      <c r="G75" s="17"/>
      <c r="H75" s="17">
        <v>1</v>
      </c>
      <c r="I75" s="17" t="str">
        <f>INDEX(Products!$C$2:$C$31,MATCH(B75,Products!$A$2:$A$31,0))</f>
        <v>Cheese</v>
      </c>
      <c r="J75" s="9">
        <f t="shared" si="1"/>
        <v>8</v>
      </c>
    </row>
    <row r="76" spans="1:10" ht="18" x14ac:dyDescent="0.2">
      <c r="A76" s="17">
        <v>465</v>
      </c>
      <c r="B76" s="17" t="s">
        <v>107</v>
      </c>
      <c r="C76" s="17" t="s">
        <v>181</v>
      </c>
      <c r="D76" s="17">
        <v>30</v>
      </c>
      <c r="E76" s="17">
        <v>30</v>
      </c>
      <c r="F76" s="17">
        <v>0</v>
      </c>
      <c r="G76" s="17"/>
      <c r="H76" s="17">
        <v>3</v>
      </c>
      <c r="I76" s="17" t="str">
        <f>INDEX(Products!$C$2:$C$31,MATCH(B76,Products!$A$2:$A$31,0))</f>
        <v>Cheese</v>
      </c>
      <c r="J76" s="9">
        <f t="shared" si="1"/>
        <v>9</v>
      </c>
    </row>
    <row r="77" spans="1:10" ht="18" x14ac:dyDescent="0.2">
      <c r="A77" s="17">
        <v>466</v>
      </c>
      <c r="B77" s="17" t="s">
        <v>107</v>
      </c>
      <c r="C77" s="17" t="s">
        <v>182</v>
      </c>
      <c r="D77" s="17">
        <v>40</v>
      </c>
      <c r="E77" s="17">
        <v>40</v>
      </c>
      <c r="F77" s="17">
        <v>0</v>
      </c>
      <c r="G77" s="17"/>
      <c r="H77" s="17">
        <v>2</v>
      </c>
      <c r="I77" s="17" t="str">
        <f>INDEX(Products!$C$2:$C$31,MATCH(B77,Products!$A$2:$A$31,0))</f>
        <v>Cheese</v>
      </c>
      <c r="J77" s="9">
        <f t="shared" si="1"/>
        <v>10</v>
      </c>
    </row>
    <row r="78" spans="1:10" ht="18" x14ac:dyDescent="0.2">
      <c r="A78" s="17">
        <v>467</v>
      </c>
      <c r="B78" s="17" t="s">
        <v>107</v>
      </c>
      <c r="C78" s="17" t="s">
        <v>183</v>
      </c>
      <c r="D78" s="17">
        <v>31</v>
      </c>
      <c r="E78" s="17">
        <v>31</v>
      </c>
      <c r="F78" s="17">
        <v>0</v>
      </c>
      <c r="G78" s="17"/>
      <c r="H78" s="17">
        <v>4</v>
      </c>
      <c r="I78" s="17" t="str">
        <f>INDEX(Products!$C$2:$C$31,MATCH(B78,Products!$A$2:$A$31,0))</f>
        <v>Cheese</v>
      </c>
      <c r="J78" s="9">
        <f t="shared" si="1"/>
        <v>11</v>
      </c>
    </row>
    <row r="79" spans="1:10" ht="18" x14ac:dyDescent="0.2">
      <c r="A79" s="17">
        <v>468</v>
      </c>
      <c r="B79" s="17" t="s">
        <v>107</v>
      </c>
      <c r="C79" s="17" t="s">
        <v>184</v>
      </c>
      <c r="D79" s="17">
        <v>20</v>
      </c>
      <c r="E79" s="17">
        <v>20</v>
      </c>
      <c r="F79" s="17">
        <v>0</v>
      </c>
      <c r="G79" s="17"/>
      <c r="H79" s="17">
        <v>3</v>
      </c>
      <c r="I79" s="17" t="str">
        <f>INDEX(Products!$C$2:$C$31,MATCH(B79,Products!$A$2:$A$31,0))</f>
        <v>Cheese</v>
      </c>
      <c r="J79" s="9">
        <f t="shared" si="1"/>
        <v>12</v>
      </c>
    </row>
    <row r="80" spans="1:10" ht="18" x14ac:dyDescent="0.2">
      <c r="A80" s="17">
        <v>469</v>
      </c>
      <c r="B80" s="17" t="s">
        <v>109</v>
      </c>
      <c r="C80" s="17" t="s">
        <v>171</v>
      </c>
      <c r="D80" s="17">
        <v>52</v>
      </c>
      <c r="E80" s="17">
        <v>52</v>
      </c>
      <c r="F80" s="17">
        <v>0</v>
      </c>
      <c r="G80" s="17"/>
      <c r="H80" s="17">
        <v>1</v>
      </c>
      <c r="I80" s="17" t="str">
        <f>INDEX(Products!$C$2:$C$31,MATCH(B80,Products!$A$2:$A$31,0))</f>
        <v>Cheese</v>
      </c>
      <c r="J80" s="9">
        <f t="shared" si="1"/>
        <v>0</v>
      </c>
    </row>
    <row r="81" spans="1:10" ht="18" x14ac:dyDescent="0.2">
      <c r="A81" s="17">
        <v>470</v>
      </c>
      <c r="B81" s="17" t="s">
        <v>109</v>
      </c>
      <c r="C81" s="17" t="s">
        <v>173</v>
      </c>
      <c r="D81" s="17">
        <v>51</v>
      </c>
      <c r="E81" s="17">
        <v>51</v>
      </c>
      <c r="F81" s="17">
        <v>0</v>
      </c>
      <c r="G81" s="17"/>
      <c r="H81" s="17">
        <v>5</v>
      </c>
      <c r="I81" s="17" t="str">
        <f>INDEX(Products!$C$2:$C$31,MATCH(B81,Products!$A$2:$A$31,0))</f>
        <v>Cheese</v>
      </c>
      <c r="J81" s="9">
        <f t="shared" si="1"/>
        <v>1</v>
      </c>
    </row>
    <row r="82" spans="1:10" ht="18" x14ac:dyDescent="0.2">
      <c r="A82" s="17">
        <v>471</v>
      </c>
      <c r="B82" s="17" t="s">
        <v>109</v>
      </c>
      <c r="C82" s="17" t="s">
        <v>174</v>
      </c>
      <c r="D82" s="17">
        <v>39</v>
      </c>
      <c r="E82" s="17">
        <v>39</v>
      </c>
      <c r="F82" s="17">
        <v>0</v>
      </c>
      <c r="G82" s="17"/>
      <c r="H82" s="17">
        <v>5</v>
      </c>
      <c r="I82" s="17" t="str">
        <f>INDEX(Products!$C$2:$C$31,MATCH(B82,Products!$A$2:$A$31,0))</f>
        <v>Cheese</v>
      </c>
      <c r="J82" s="9">
        <f t="shared" si="1"/>
        <v>2</v>
      </c>
    </row>
    <row r="83" spans="1:10" ht="18" x14ac:dyDescent="0.2">
      <c r="A83" s="17">
        <v>472</v>
      </c>
      <c r="B83" s="17" t="s">
        <v>109</v>
      </c>
      <c r="C83" s="17" t="s">
        <v>175</v>
      </c>
      <c r="D83" s="17">
        <v>50</v>
      </c>
      <c r="E83" s="17">
        <v>47</v>
      </c>
      <c r="F83" s="17">
        <v>-3</v>
      </c>
      <c r="G83" s="17" t="s">
        <v>187</v>
      </c>
      <c r="H83" s="17">
        <v>2</v>
      </c>
      <c r="I83" s="17" t="str">
        <f>INDEX(Products!$C$2:$C$31,MATCH(B83,Products!$A$2:$A$31,0))</f>
        <v>Cheese</v>
      </c>
      <c r="J83" s="9">
        <f t="shared" si="1"/>
        <v>3</v>
      </c>
    </row>
    <row r="84" spans="1:10" ht="18" x14ac:dyDescent="0.2">
      <c r="A84" s="17">
        <v>473</v>
      </c>
      <c r="B84" s="17" t="s">
        <v>109</v>
      </c>
      <c r="C84" s="17" t="s">
        <v>176</v>
      </c>
      <c r="D84" s="17">
        <v>40</v>
      </c>
      <c r="E84" s="17">
        <v>40</v>
      </c>
      <c r="F84" s="17">
        <v>0</v>
      </c>
      <c r="G84" s="17"/>
      <c r="H84" s="17">
        <v>4</v>
      </c>
      <c r="I84" s="17" t="str">
        <f>INDEX(Products!$C$2:$C$31,MATCH(B84,Products!$A$2:$A$31,0))</f>
        <v>Cheese</v>
      </c>
      <c r="J84" s="9">
        <f t="shared" si="1"/>
        <v>4</v>
      </c>
    </row>
    <row r="85" spans="1:10" ht="18" x14ac:dyDescent="0.2">
      <c r="A85" s="17">
        <v>474</v>
      </c>
      <c r="B85" s="17" t="s">
        <v>109</v>
      </c>
      <c r="C85" s="17" t="s">
        <v>177</v>
      </c>
      <c r="D85" s="17">
        <v>31</v>
      </c>
      <c r="E85" s="17">
        <v>31</v>
      </c>
      <c r="F85" s="17">
        <v>0</v>
      </c>
      <c r="G85" s="17"/>
      <c r="H85" s="17">
        <v>1</v>
      </c>
      <c r="I85" s="17" t="str">
        <f>INDEX(Products!$C$2:$C$31,MATCH(B85,Products!$A$2:$A$31,0))</f>
        <v>Cheese</v>
      </c>
      <c r="J85" s="9">
        <f t="shared" si="1"/>
        <v>5</v>
      </c>
    </row>
    <row r="86" spans="1:10" ht="18" x14ac:dyDescent="0.2">
      <c r="A86" s="17">
        <v>475</v>
      </c>
      <c r="B86" s="17" t="s">
        <v>109</v>
      </c>
      <c r="C86" s="17" t="s">
        <v>178</v>
      </c>
      <c r="D86" s="17">
        <v>21</v>
      </c>
      <c r="E86" s="17">
        <v>21</v>
      </c>
      <c r="F86" s="17">
        <v>0</v>
      </c>
      <c r="G86" s="17"/>
      <c r="H86" s="17">
        <v>4</v>
      </c>
      <c r="I86" s="17" t="str">
        <f>INDEX(Products!$C$2:$C$31,MATCH(B86,Products!$A$2:$A$31,0))</f>
        <v>Cheese</v>
      </c>
      <c r="J86" s="9">
        <f t="shared" si="1"/>
        <v>6</v>
      </c>
    </row>
    <row r="87" spans="1:10" ht="18" x14ac:dyDescent="0.2">
      <c r="A87" s="17">
        <v>476</v>
      </c>
      <c r="B87" s="17" t="s">
        <v>109</v>
      </c>
      <c r="C87" s="17" t="s">
        <v>179</v>
      </c>
      <c r="D87" s="17">
        <v>14</v>
      </c>
      <c r="E87" s="17">
        <v>14</v>
      </c>
      <c r="F87" s="17">
        <v>0</v>
      </c>
      <c r="G87" s="17"/>
      <c r="H87" s="17">
        <v>4</v>
      </c>
      <c r="I87" s="17" t="str">
        <f>INDEX(Products!$C$2:$C$31,MATCH(B87,Products!$A$2:$A$31,0))</f>
        <v>Cheese</v>
      </c>
      <c r="J87" s="9">
        <f t="shared" si="1"/>
        <v>7</v>
      </c>
    </row>
    <row r="88" spans="1:10" ht="18" x14ac:dyDescent="0.2">
      <c r="A88" s="17">
        <v>477</v>
      </c>
      <c r="B88" s="17" t="s">
        <v>109</v>
      </c>
      <c r="C88" s="17" t="s">
        <v>180</v>
      </c>
      <c r="D88" s="17">
        <v>8</v>
      </c>
      <c r="E88" s="17">
        <v>8</v>
      </c>
      <c r="F88" s="17">
        <v>0</v>
      </c>
      <c r="G88" s="17"/>
      <c r="H88" s="17">
        <v>5</v>
      </c>
      <c r="I88" s="17" t="str">
        <f>INDEX(Products!$C$2:$C$31,MATCH(B88,Products!$A$2:$A$31,0))</f>
        <v>Cheese</v>
      </c>
      <c r="J88" s="9">
        <f t="shared" si="1"/>
        <v>8</v>
      </c>
    </row>
    <row r="89" spans="1:10" ht="18" x14ac:dyDescent="0.2">
      <c r="A89" s="17">
        <v>478</v>
      </c>
      <c r="B89" s="17" t="s">
        <v>109</v>
      </c>
      <c r="C89" s="17" t="s">
        <v>181</v>
      </c>
      <c r="D89" s="17">
        <v>14</v>
      </c>
      <c r="E89" s="17">
        <v>14</v>
      </c>
      <c r="F89" s="17">
        <v>0</v>
      </c>
      <c r="G89" s="17"/>
      <c r="H89" s="17">
        <v>2</v>
      </c>
      <c r="I89" s="17" t="str">
        <f>INDEX(Products!$C$2:$C$31,MATCH(B89,Products!$A$2:$A$31,0))</f>
        <v>Cheese</v>
      </c>
      <c r="J89" s="9">
        <f t="shared" si="1"/>
        <v>9</v>
      </c>
    </row>
    <row r="90" spans="1:10" ht="18" x14ac:dyDescent="0.2">
      <c r="A90" s="17">
        <v>479</v>
      </c>
      <c r="B90" s="17" t="s">
        <v>109</v>
      </c>
      <c r="C90" s="17" t="s">
        <v>182</v>
      </c>
      <c r="D90" s="17">
        <v>5</v>
      </c>
      <c r="E90" s="17">
        <v>5</v>
      </c>
      <c r="F90" s="17">
        <v>0</v>
      </c>
      <c r="G90" s="17"/>
      <c r="H90" s="17">
        <v>1</v>
      </c>
      <c r="I90" s="17" t="str">
        <f>INDEX(Products!$C$2:$C$31,MATCH(B90,Products!$A$2:$A$31,0))</f>
        <v>Cheese</v>
      </c>
      <c r="J90" s="9">
        <f t="shared" si="1"/>
        <v>10</v>
      </c>
    </row>
    <row r="91" spans="1:10" ht="18" x14ac:dyDescent="0.2">
      <c r="A91" s="17">
        <v>480</v>
      </c>
      <c r="B91" s="17" t="s">
        <v>109</v>
      </c>
      <c r="C91" s="17" t="s">
        <v>183</v>
      </c>
      <c r="D91" s="17">
        <v>8</v>
      </c>
      <c r="E91" s="17">
        <v>8</v>
      </c>
      <c r="F91" s="17">
        <v>0</v>
      </c>
      <c r="G91" s="17"/>
      <c r="H91" s="17">
        <v>1</v>
      </c>
      <c r="I91" s="17" t="str">
        <f>INDEX(Products!$C$2:$C$31,MATCH(B91,Products!$A$2:$A$31,0))</f>
        <v>Cheese</v>
      </c>
      <c r="J91" s="9">
        <f t="shared" si="1"/>
        <v>11</v>
      </c>
    </row>
    <row r="92" spans="1:10" ht="18" x14ac:dyDescent="0.2">
      <c r="A92" s="17">
        <v>481</v>
      </c>
      <c r="B92" s="17" t="s">
        <v>109</v>
      </c>
      <c r="C92" s="17" t="s">
        <v>184</v>
      </c>
      <c r="D92" s="17">
        <v>16</v>
      </c>
      <c r="E92" s="17">
        <v>16</v>
      </c>
      <c r="F92" s="17">
        <v>0</v>
      </c>
      <c r="G92" s="17"/>
      <c r="H92" s="17">
        <v>1</v>
      </c>
      <c r="I92" s="17" t="str">
        <f>INDEX(Products!$C$2:$C$31,MATCH(B92,Products!$A$2:$A$31,0))</f>
        <v>Cheese</v>
      </c>
      <c r="J92" s="9">
        <f t="shared" si="1"/>
        <v>12</v>
      </c>
    </row>
    <row r="93" spans="1:10" ht="18" x14ac:dyDescent="0.2">
      <c r="A93" s="17">
        <v>482</v>
      </c>
      <c r="B93" s="17" t="s">
        <v>111</v>
      </c>
      <c r="C93" s="17" t="s">
        <v>171</v>
      </c>
      <c r="D93" s="17">
        <v>400</v>
      </c>
      <c r="E93" s="17">
        <v>400</v>
      </c>
      <c r="F93" s="17">
        <v>0</v>
      </c>
      <c r="G93" s="17"/>
      <c r="H93" s="17">
        <v>5</v>
      </c>
      <c r="I93" s="17" t="str">
        <f>INDEX(Products!$C$2:$C$31,MATCH(B93,Products!$A$2:$A$31,0))</f>
        <v>Cheese</v>
      </c>
      <c r="J93" s="9">
        <f t="shared" si="1"/>
        <v>0</v>
      </c>
    </row>
    <row r="94" spans="1:10" ht="18" x14ac:dyDescent="0.2">
      <c r="A94" s="17">
        <v>483</v>
      </c>
      <c r="B94" s="17" t="s">
        <v>111</v>
      </c>
      <c r="C94" s="17" t="s">
        <v>173</v>
      </c>
      <c r="D94" s="17">
        <v>390</v>
      </c>
      <c r="E94" s="17">
        <v>392</v>
      </c>
      <c r="F94" s="17">
        <v>2</v>
      </c>
      <c r="G94" s="17" t="s">
        <v>172</v>
      </c>
      <c r="H94" s="17">
        <v>2</v>
      </c>
      <c r="I94" s="17" t="str">
        <f>INDEX(Products!$C$2:$C$31,MATCH(B94,Products!$A$2:$A$31,0))</f>
        <v>Cheese</v>
      </c>
      <c r="J94" s="9">
        <f t="shared" si="1"/>
        <v>1</v>
      </c>
    </row>
    <row r="95" spans="1:10" ht="18" x14ac:dyDescent="0.2">
      <c r="A95" s="17">
        <v>484</v>
      </c>
      <c r="B95" s="17" t="s">
        <v>111</v>
      </c>
      <c r="C95" s="17" t="s">
        <v>174</v>
      </c>
      <c r="D95" s="17">
        <v>377</v>
      </c>
      <c r="E95" s="17">
        <v>377</v>
      </c>
      <c r="F95" s="17">
        <v>0</v>
      </c>
      <c r="G95" s="17"/>
      <c r="H95" s="17">
        <v>2</v>
      </c>
      <c r="I95" s="17" t="str">
        <f>INDEX(Products!$C$2:$C$31,MATCH(B95,Products!$A$2:$A$31,0))</f>
        <v>Cheese</v>
      </c>
      <c r="J95" s="9">
        <f t="shared" si="1"/>
        <v>2</v>
      </c>
    </row>
    <row r="96" spans="1:10" ht="18" x14ac:dyDescent="0.2">
      <c r="A96" s="17">
        <v>485</v>
      </c>
      <c r="B96" s="17" t="s">
        <v>111</v>
      </c>
      <c r="C96" s="17" t="s">
        <v>175</v>
      </c>
      <c r="D96" s="17">
        <v>374</v>
      </c>
      <c r="E96" s="17">
        <v>376</v>
      </c>
      <c r="F96" s="17">
        <v>2</v>
      </c>
      <c r="G96" s="17" t="s">
        <v>172</v>
      </c>
      <c r="H96" s="17">
        <v>5</v>
      </c>
      <c r="I96" s="17" t="str">
        <f>INDEX(Products!$C$2:$C$31,MATCH(B96,Products!$A$2:$A$31,0))</f>
        <v>Cheese</v>
      </c>
      <c r="J96" s="9">
        <f t="shared" si="1"/>
        <v>3</v>
      </c>
    </row>
    <row r="97" spans="1:10" ht="18" x14ac:dyDescent="0.2">
      <c r="A97" s="17">
        <v>486</v>
      </c>
      <c r="B97" s="17" t="s">
        <v>111</v>
      </c>
      <c r="C97" s="17" t="s">
        <v>176</v>
      </c>
      <c r="D97" s="17">
        <v>360</v>
      </c>
      <c r="E97" s="17">
        <v>360</v>
      </c>
      <c r="F97" s="17">
        <v>0</v>
      </c>
      <c r="G97" s="17"/>
      <c r="H97" s="17">
        <v>4</v>
      </c>
      <c r="I97" s="17" t="str">
        <f>INDEX(Products!$C$2:$C$31,MATCH(B97,Products!$A$2:$A$31,0))</f>
        <v>Cheese</v>
      </c>
      <c r="J97" s="9">
        <f t="shared" si="1"/>
        <v>4</v>
      </c>
    </row>
    <row r="98" spans="1:10" ht="18" x14ac:dyDescent="0.2">
      <c r="A98" s="17">
        <v>487</v>
      </c>
      <c r="B98" s="17" t="s">
        <v>111</v>
      </c>
      <c r="C98" s="17" t="s">
        <v>177</v>
      </c>
      <c r="D98" s="17">
        <v>366</v>
      </c>
      <c r="E98" s="17">
        <v>366</v>
      </c>
      <c r="F98" s="17">
        <v>0</v>
      </c>
      <c r="G98" s="17"/>
      <c r="H98" s="17">
        <v>5</v>
      </c>
      <c r="I98" s="17" t="str">
        <f>INDEX(Products!$C$2:$C$31,MATCH(B98,Products!$A$2:$A$31,0))</f>
        <v>Cheese</v>
      </c>
      <c r="J98" s="9">
        <f t="shared" si="1"/>
        <v>5</v>
      </c>
    </row>
    <row r="99" spans="1:10" ht="18" x14ac:dyDescent="0.2">
      <c r="A99" s="17">
        <v>488</v>
      </c>
      <c r="B99" s="17" t="s">
        <v>111</v>
      </c>
      <c r="C99" s="17" t="s">
        <v>178</v>
      </c>
      <c r="D99" s="17">
        <v>361</v>
      </c>
      <c r="E99" s="17">
        <v>361</v>
      </c>
      <c r="F99" s="17">
        <v>0</v>
      </c>
      <c r="G99" s="17"/>
      <c r="H99" s="17">
        <v>2</v>
      </c>
      <c r="I99" s="17" t="str">
        <f>INDEX(Products!$C$2:$C$31,MATCH(B99,Products!$A$2:$A$31,0))</f>
        <v>Cheese</v>
      </c>
      <c r="J99" s="9">
        <f t="shared" si="1"/>
        <v>6</v>
      </c>
    </row>
    <row r="100" spans="1:10" ht="18" x14ac:dyDescent="0.2">
      <c r="A100" s="17">
        <v>489</v>
      </c>
      <c r="B100" s="17" t="s">
        <v>111</v>
      </c>
      <c r="C100" s="17" t="s">
        <v>179</v>
      </c>
      <c r="D100" s="17">
        <v>367</v>
      </c>
      <c r="E100" s="17">
        <v>367</v>
      </c>
      <c r="F100" s="17">
        <v>0</v>
      </c>
      <c r="G100" s="17"/>
      <c r="H100" s="17">
        <v>2</v>
      </c>
      <c r="I100" s="17" t="str">
        <f>INDEX(Products!$C$2:$C$31,MATCH(B100,Products!$A$2:$A$31,0))</f>
        <v>Cheese</v>
      </c>
      <c r="J100" s="9">
        <f t="shared" si="1"/>
        <v>7</v>
      </c>
    </row>
    <row r="101" spans="1:10" ht="18" x14ac:dyDescent="0.2">
      <c r="A101" s="17">
        <v>490</v>
      </c>
      <c r="B101" s="17" t="s">
        <v>111</v>
      </c>
      <c r="C101" s="17" t="s">
        <v>180</v>
      </c>
      <c r="D101" s="17">
        <v>360</v>
      </c>
      <c r="E101" s="17">
        <v>360</v>
      </c>
      <c r="F101" s="17">
        <v>0</v>
      </c>
      <c r="G101" s="17"/>
      <c r="H101" s="17">
        <v>3</v>
      </c>
      <c r="I101" s="17" t="str">
        <f>INDEX(Products!$C$2:$C$31,MATCH(B101,Products!$A$2:$A$31,0))</f>
        <v>Cheese</v>
      </c>
      <c r="J101" s="9">
        <f t="shared" si="1"/>
        <v>8</v>
      </c>
    </row>
    <row r="102" spans="1:10" ht="18" x14ac:dyDescent="0.2">
      <c r="A102" s="17">
        <v>491</v>
      </c>
      <c r="B102" s="17" t="s">
        <v>111</v>
      </c>
      <c r="C102" s="17" t="s">
        <v>181</v>
      </c>
      <c r="D102" s="17">
        <v>359</v>
      </c>
      <c r="E102" s="17">
        <v>359</v>
      </c>
      <c r="F102" s="17">
        <v>0</v>
      </c>
      <c r="G102" s="17"/>
      <c r="H102" s="17">
        <v>1</v>
      </c>
      <c r="I102" s="17" t="str">
        <f>INDEX(Products!$C$2:$C$31,MATCH(B102,Products!$A$2:$A$31,0))</f>
        <v>Cheese</v>
      </c>
      <c r="J102" s="9">
        <f t="shared" si="1"/>
        <v>9</v>
      </c>
    </row>
    <row r="103" spans="1:10" ht="18" x14ac:dyDescent="0.2">
      <c r="A103" s="17">
        <v>492</v>
      </c>
      <c r="B103" s="17" t="s">
        <v>111</v>
      </c>
      <c r="C103" s="17" t="s">
        <v>182</v>
      </c>
      <c r="D103" s="17">
        <v>344</v>
      </c>
      <c r="E103" s="17">
        <v>344</v>
      </c>
      <c r="F103" s="17">
        <v>0</v>
      </c>
      <c r="G103" s="17"/>
      <c r="H103" s="17">
        <v>5</v>
      </c>
      <c r="I103" s="17" t="str">
        <f>INDEX(Products!$C$2:$C$31,MATCH(B103,Products!$A$2:$A$31,0))</f>
        <v>Cheese</v>
      </c>
      <c r="J103" s="9">
        <f t="shared" si="1"/>
        <v>10</v>
      </c>
    </row>
    <row r="104" spans="1:10" ht="18" x14ac:dyDescent="0.2">
      <c r="A104" s="17">
        <v>493</v>
      </c>
      <c r="B104" s="17" t="s">
        <v>111</v>
      </c>
      <c r="C104" s="17" t="s">
        <v>183</v>
      </c>
      <c r="D104" s="17">
        <v>332</v>
      </c>
      <c r="E104" s="17">
        <v>330</v>
      </c>
      <c r="F104" s="17">
        <v>-2</v>
      </c>
      <c r="G104" s="17" t="s">
        <v>186</v>
      </c>
      <c r="H104" s="17">
        <v>2</v>
      </c>
      <c r="I104" s="17" t="str">
        <f>INDEX(Products!$C$2:$C$31,MATCH(B104,Products!$A$2:$A$31,0))</f>
        <v>Cheese</v>
      </c>
      <c r="J104" s="9">
        <f t="shared" si="1"/>
        <v>11</v>
      </c>
    </row>
    <row r="105" spans="1:10" ht="18" x14ac:dyDescent="0.2">
      <c r="A105" s="17">
        <v>494</v>
      </c>
      <c r="B105" s="17" t="s">
        <v>111</v>
      </c>
      <c r="C105" s="17" t="s">
        <v>184</v>
      </c>
      <c r="D105" s="17">
        <v>346</v>
      </c>
      <c r="E105" s="17">
        <v>346</v>
      </c>
      <c r="F105" s="17">
        <v>0</v>
      </c>
      <c r="G105" s="17"/>
      <c r="H105" s="17">
        <v>1</v>
      </c>
      <c r="I105" s="17" t="str">
        <f>INDEX(Products!$C$2:$C$31,MATCH(B105,Products!$A$2:$A$31,0))</f>
        <v>Cheese</v>
      </c>
      <c r="J105" s="9">
        <f t="shared" si="1"/>
        <v>12</v>
      </c>
    </row>
    <row r="106" spans="1:10" ht="18" x14ac:dyDescent="0.2">
      <c r="A106" s="17">
        <v>495</v>
      </c>
      <c r="B106" s="17" t="s">
        <v>113</v>
      </c>
      <c r="C106" s="17" t="s">
        <v>171</v>
      </c>
      <c r="D106" s="17">
        <v>56</v>
      </c>
      <c r="E106" s="17">
        <v>56</v>
      </c>
      <c r="F106" s="17">
        <v>0</v>
      </c>
      <c r="G106" s="17"/>
      <c r="H106" s="17">
        <v>4</v>
      </c>
      <c r="I106" s="17" t="str">
        <f>INDEX(Products!$C$2:$C$31,MATCH(B106,Products!$A$2:$A$31,0))</f>
        <v>Yogurt</v>
      </c>
      <c r="J106" s="9">
        <f t="shared" si="1"/>
        <v>0</v>
      </c>
    </row>
    <row r="107" spans="1:10" ht="18" x14ac:dyDescent="0.2">
      <c r="A107" s="17">
        <v>496</v>
      </c>
      <c r="B107" s="17" t="s">
        <v>113</v>
      </c>
      <c r="C107" s="17" t="s">
        <v>173</v>
      </c>
      <c r="D107" s="17">
        <v>67</v>
      </c>
      <c r="E107" s="17">
        <v>67</v>
      </c>
      <c r="F107" s="17">
        <v>0</v>
      </c>
      <c r="G107" s="17"/>
      <c r="H107" s="17">
        <v>3</v>
      </c>
      <c r="I107" s="17" t="str">
        <f>INDEX(Products!$C$2:$C$31,MATCH(B107,Products!$A$2:$A$31,0))</f>
        <v>Yogurt</v>
      </c>
      <c r="J107" s="9">
        <f t="shared" si="1"/>
        <v>1</v>
      </c>
    </row>
    <row r="108" spans="1:10" ht="18" x14ac:dyDescent="0.2">
      <c r="A108" s="17">
        <v>497</v>
      </c>
      <c r="B108" s="17" t="s">
        <v>113</v>
      </c>
      <c r="C108" s="17" t="s">
        <v>174</v>
      </c>
      <c r="D108" s="17">
        <v>71</v>
      </c>
      <c r="E108" s="17">
        <v>71</v>
      </c>
      <c r="F108" s="17">
        <v>0</v>
      </c>
      <c r="G108" s="17"/>
      <c r="H108" s="17">
        <v>5</v>
      </c>
      <c r="I108" s="17" t="str">
        <f>INDEX(Products!$C$2:$C$31,MATCH(B108,Products!$A$2:$A$31,0))</f>
        <v>Yogurt</v>
      </c>
      <c r="J108" s="9">
        <f t="shared" si="1"/>
        <v>2</v>
      </c>
    </row>
    <row r="109" spans="1:10" ht="18" x14ac:dyDescent="0.2">
      <c r="A109" s="17">
        <v>498</v>
      </c>
      <c r="B109" s="17" t="s">
        <v>113</v>
      </c>
      <c r="C109" s="17" t="s">
        <v>175</v>
      </c>
      <c r="D109" s="17">
        <v>56</v>
      </c>
      <c r="E109" s="17">
        <v>56</v>
      </c>
      <c r="F109" s="17">
        <v>0</v>
      </c>
      <c r="G109" s="17"/>
      <c r="H109" s="17">
        <v>5</v>
      </c>
      <c r="I109" s="17" t="str">
        <f>INDEX(Products!$C$2:$C$31,MATCH(B109,Products!$A$2:$A$31,0))</f>
        <v>Yogurt</v>
      </c>
      <c r="J109" s="9">
        <f t="shared" si="1"/>
        <v>3</v>
      </c>
    </row>
    <row r="110" spans="1:10" ht="18" x14ac:dyDescent="0.2">
      <c r="A110" s="17">
        <v>499</v>
      </c>
      <c r="B110" s="17" t="s">
        <v>113</v>
      </c>
      <c r="C110" s="17" t="s">
        <v>176</v>
      </c>
      <c r="D110" s="17">
        <v>50</v>
      </c>
      <c r="E110" s="17">
        <v>50</v>
      </c>
      <c r="F110" s="17">
        <v>0</v>
      </c>
      <c r="G110" s="17"/>
      <c r="H110" s="17">
        <v>1</v>
      </c>
      <c r="I110" s="17" t="str">
        <f>INDEX(Products!$C$2:$C$31,MATCH(B110,Products!$A$2:$A$31,0))</f>
        <v>Yogurt</v>
      </c>
      <c r="J110" s="9">
        <f t="shared" si="1"/>
        <v>4</v>
      </c>
    </row>
    <row r="111" spans="1:10" ht="18" x14ac:dyDescent="0.2">
      <c r="A111" s="17">
        <v>500</v>
      </c>
      <c r="B111" s="17" t="s">
        <v>113</v>
      </c>
      <c r="C111" s="17" t="s">
        <v>177</v>
      </c>
      <c r="D111" s="17">
        <v>65</v>
      </c>
      <c r="E111" s="17">
        <v>65</v>
      </c>
      <c r="F111" s="17">
        <v>0</v>
      </c>
      <c r="G111" s="17"/>
      <c r="H111" s="17">
        <v>3</v>
      </c>
      <c r="I111" s="17" t="str">
        <f>INDEX(Products!$C$2:$C$31,MATCH(B111,Products!$A$2:$A$31,0))</f>
        <v>Yogurt</v>
      </c>
      <c r="J111" s="9">
        <f t="shared" si="1"/>
        <v>5</v>
      </c>
    </row>
    <row r="112" spans="1:10" ht="18" x14ac:dyDescent="0.2">
      <c r="A112" s="17">
        <v>501</v>
      </c>
      <c r="B112" s="17" t="s">
        <v>113</v>
      </c>
      <c r="C112" s="17" t="s">
        <v>178</v>
      </c>
      <c r="D112" s="17">
        <v>53</v>
      </c>
      <c r="E112" s="17">
        <v>53</v>
      </c>
      <c r="F112" s="17">
        <v>0</v>
      </c>
      <c r="G112" s="17"/>
      <c r="H112" s="17">
        <v>5</v>
      </c>
      <c r="I112" s="17" t="str">
        <f>INDEX(Products!$C$2:$C$31,MATCH(B112,Products!$A$2:$A$31,0))</f>
        <v>Yogurt</v>
      </c>
      <c r="J112" s="9">
        <f t="shared" si="1"/>
        <v>6</v>
      </c>
    </row>
    <row r="113" spans="1:10" ht="18" x14ac:dyDescent="0.2">
      <c r="A113" s="17">
        <v>502</v>
      </c>
      <c r="B113" s="17" t="s">
        <v>113</v>
      </c>
      <c r="C113" s="17" t="s">
        <v>179</v>
      </c>
      <c r="D113" s="17">
        <v>42</v>
      </c>
      <c r="E113" s="17">
        <v>42</v>
      </c>
      <c r="F113" s="17">
        <v>0</v>
      </c>
      <c r="G113" s="17"/>
      <c r="H113" s="17">
        <v>5</v>
      </c>
      <c r="I113" s="17" t="str">
        <f>INDEX(Products!$C$2:$C$31,MATCH(B113,Products!$A$2:$A$31,0))</f>
        <v>Yogurt</v>
      </c>
      <c r="J113" s="9">
        <f t="shared" si="1"/>
        <v>7</v>
      </c>
    </row>
    <row r="114" spans="1:10" ht="18" x14ac:dyDescent="0.2">
      <c r="A114" s="17">
        <v>503</v>
      </c>
      <c r="B114" s="17" t="s">
        <v>113</v>
      </c>
      <c r="C114" s="17" t="s">
        <v>180</v>
      </c>
      <c r="D114" s="17">
        <v>33</v>
      </c>
      <c r="E114" s="17">
        <v>33</v>
      </c>
      <c r="F114" s="17">
        <v>0</v>
      </c>
      <c r="G114" s="17"/>
      <c r="H114" s="17">
        <v>2</v>
      </c>
      <c r="I114" s="17" t="str">
        <f>INDEX(Products!$C$2:$C$31,MATCH(B114,Products!$A$2:$A$31,0))</f>
        <v>Yogurt</v>
      </c>
      <c r="J114" s="9">
        <f t="shared" si="1"/>
        <v>8</v>
      </c>
    </row>
    <row r="115" spans="1:10" ht="18" x14ac:dyDescent="0.2">
      <c r="A115" s="17">
        <v>504</v>
      </c>
      <c r="B115" s="17" t="s">
        <v>113</v>
      </c>
      <c r="C115" s="17" t="s">
        <v>181</v>
      </c>
      <c r="D115" s="17">
        <v>39</v>
      </c>
      <c r="E115" s="17">
        <v>39</v>
      </c>
      <c r="F115" s="17">
        <v>0</v>
      </c>
      <c r="G115" s="17"/>
      <c r="H115" s="17">
        <v>3</v>
      </c>
      <c r="I115" s="17" t="str">
        <f>INDEX(Products!$C$2:$C$31,MATCH(B115,Products!$A$2:$A$31,0))</f>
        <v>Yogurt</v>
      </c>
      <c r="J115" s="9">
        <f t="shared" si="1"/>
        <v>9</v>
      </c>
    </row>
    <row r="116" spans="1:10" ht="18" x14ac:dyDescent="0.2">
      <c r="A116" s="17">
        <v>505</v>
      </c>
      <c r="B116" s="17" t="s">
        <v>113</v>
      </c>
      <c r="C116" s="17" t="s">
        <v>182</v>
      </c>
      <c r="D116" s="17">
        <v>40</v>
      </c>
      <c r="E116" s="17">
        <v>40</v>
      </c>
      <c r="F116" s="17">
        <v>0</v>
      </c>
      <c r="G116" s="17"/>
      <c r="H116" s="17">
        <v>1</v>
      </c>
      <c r="I116" s="17" t="str">
        <f>INDEX(Products!$C$2:$C$31,MATCH(B116,Products!$A$2:$A$31,0))</f>
        <v>Yogurt</v>
      </c>
      <c r="J116" s="9">
        <f t="shared" si="1"/>
        <v>10</v>
      </c>
    </row>
    <row r="117" spans="1:10" ht="18" x14ac:dyDescent="0.2">
      <c r="A117" s="17">
        <v>506</v>
      </c>
      <c r="B117" s="17" t="s">
        <v>113</v>
      </c>
      <c r="C117" s="17" t="s">
        <v>183</v>
      </c>
      <c r="D117" s="17">
        <v>27</v>
      </c>
      <c r="E117" s="17">
        <v>27</v>
      </c>
      <c r="F117" s="17">
        <v>0</v>
      </c>
      <c r="G117" s="17"/>
      <c r="H117" s="17">
        <v>3</v>
      </c>
      <c r="I117" s="17" t="str">
        <f>INDEX(Products!$C$2:$C$31,MATCH(B117,Products!$A$2:$A$31,0))</f>
        <v>Yogurt</v>
      </c>
      <c r="J117" s="9">
        <f t="shared" si="1"/>
        <v>11</v>
      </c>
    </row>
    <row r="118" spans="1:10" ht="18" x14ac:dyDescent="0.2">
      <c r="A118" s="17">
        <v>507</v>
      </c>
      <c r="B118" s="17" t="s">
        <v>113</v>
      </c>
      <c r="C118" s="17" t="s">
        <v>184</v>
      </c>
      <c r="D118" s="17">
        <v>13</v>
      </c>
      <c r="E118" s="17">
        <v>11</v>
      </c>
      <c r="F118" s="17">
        <v>-2</v>
      </c>
      <c r="G118" s="17" t="s">
        <v>186</v>
      </c>
      <c r="H118" s="17">
        <v>3</v>
      </c>
      <c r="I118" s="17" t="str">
        <f>INDEX(Products!$C$2:$C$31,MATCH(B118,Products!$A$2:$A$31,0))</f>
        <v>Yogurt</v>
      </c>
      <c r="J118" s="9">
        <f t="shared" si="1"/>
        <v>12</v>
      </c>
    </row>
    <row r="119" spans="1:10" ht="18" x14ac:dyDescent="0.2">
      <c r="A119" s="17">
        <v>508</v>
      </c>
      <c r="B119" s="17" t="s">
        <v>116</v>
      </c>
      <c r="C119" s="17" t="s">
        <v>171</v>
      </c>
      <c r="D119" s="17">
        <v>68</v>
      </c>
      <c r="E119" s="17">
        <v>68</v>
      </c>
      <c r="F119" s="17">
        <v>0</v>
      </c>
      <c r="G119" s="17"/>
      <c r="H119" s="17">
        <v>4</v>
      </c>
      <c r="I119" s="17" t="str">
        <f>INDEX(Products!$C$2:$C$31,MATCH(B119,Products!$A$2:$A$31,0))</f>
        <v>Yogurt</v>
      </c>
      <c r="J119" s="9">
        <f t="shared" si="1"/>
        <v>0</v>
      </c>
    </row>
    <row r="120" spans="1:10" ht="18" x14ac:dyDescent="0.2">
      <c r="A120" s="17">
        <v>509</v>
      </c>
      <c r="B120" s="17" t="s">
        <v>116</v>
      </c>
      <c r="C120" s="17" t="s">
        <v>173</v>
      </c>
      <c r="D120" s="17">
        <v>70</v>
      </c>
      <c r="E120" s="17">
        <v>67</v>
      </c>
      <c r="F120" s="17">
        <v>-3</v>
      </c>
      <c r="G120" s="17" t="s">
        <v>187</v>
      </c>
      <c r="H120" s="17">
        <v>2</v>
      </c>
      <c r="I120" s="17" t="str">
        <f>INDEX(Products!$C$2:$C$31,MATCH(B120,Products!$A$2:$A$31,0))</f>
        <v>Yogurt</v>
      </c>
      <c r="J120" s="9">
        <f t="shared" si="1"/>
        <v>1</v>
      </c>
    </row>
    <row r="121" spans="1:10" ht="18" x14ac:dyDescent="0.2">
      <c r="A121" s="17">
        <v>510</v>
      </c>
      <c r="B121" s="17" t="s">
        <v>116</v>
      </c>
      <c r="C121" s="17" t="s">
        <v>174</v>
      </c>
      <c r="D121" s="17">
        <v>72</v>
      </c>
      <c r="E121" s="17">
        <v>71</v>
      </c>
      <c r="F121" s="17">
        <v>-1</v>
      </c>
      <c r="G121" s="17" t="s">
        <v>186</v>
      </c>
      <c r="H121" s="17">
        <v>2</v>
      </c>
      <c r="I121" s="17" t="str">
        <f>INDEX(Products!$C$2:$C$31,MATCH(B121,Products!$A$2:$A$31,0))</f>
        <v>Yogurt</v>
      </c>
      <c r="J121" s="9">
        <f t="shared" si="1"/>
        <v>2</v>
      </c>
    </row>
    <row r="122" spans="1:10" ht="18" x14ac:dyDescent="0.2">
      <c r="A122" s="17">
        <v>511</v>
      </c>
      <c r="B122" s="17" t="s">
        <v>116</v>
      </c>
      <c r="C122" s="17" t="s">
        <v>175</v>
      </c>
      <c r="D122" s="17">
        <v>70</v>
      </c>
      <c r="E122" s="17">
        <v>70</v>
      </c>
      <c r="F122" s="17">
        <v>0</v>
      </c>
      <c r="G122" s="17"/>
      <c r="H122" s="17">
        <v>3</v>
      </c>
      <c r="I122" s="17" t="str">
        <f>INDEX(Products!$C$2:$C$31,MATCH(B122,Products!$A$2:$A$31,0))</f>
        <v>Yogurt</v>
      </c>
      <c r="J122" s="9">
        <f t="shared" si="1"/>
        <v>3</v>
      </c>
    </row>
    <row r="123" spans="1:10" ht="18" x14ac:dyDescent="0.2">
      <c r="A123" s="17">
        <v>512</v>
      </c>
      <c r="B123" s="17" t="s">
        <v>116</v>
      </c>
      <c r="C123" s="17" t="s">
        <v>176</v>
      </c>
      <c r="D123" s="17">
        <v>66</v>
      </c>
      <c r="E123" s="17">
        <v>66</v>
      </c>
      <c r="F123" s="17">
        <v>0</v>
      </c>
      <c r="G123" s="17"/>
      <c r="H123" s="17">
        <v>1</v>
      </c>
      <c r="I123" s="17" t="str">
        <f>INDEX(Products!$C$2:$C$31,MATCH(B123,Products!$A$2:$A$31,0))</f>
        <v>Yogurt</v>
      </c>
      <c r="J123" s="9">
        <f t="shared" si="1"/>
        <v>4</v>
      </c>
    </row>
    <row r="124" spans="1:10" ht="18" x14ac:dyDescent="0.2">
      <c r="A124" s="17">
        <v>513</v>
      </c>
      <c r="B124" s="17" t="s">
        <v>116</v>
      </c>
      <c r="C124" s="17" t="s">
        <v>177</v>
      </c>
      <c r="D124" s="17">
        <v>79</v>
      </c>
      <c r="E124" s="17">
        <v>79</v>
      </c>
      <c r="F124" s="17">
        <v>0</v>
      </c>
      <c r="G124" s="17"/>
      <c r="H124" s="17">
        <v>2</v>
      </c>
      <c r="I124" s="17" t="str">
        <f>INDEX(Products!$C$2:$C$31,MATCH(B124,Products!$A$2:$A$31,0))</f>
        <v>Yogurt</v>
      </c>
      <c r="J124" s="9">
        <f t="shared" si="1"/>
        <v>5</v>
      </c>
    </row>
    <row r="125" spans="1:10" ht="18" x14ac:dyDescent="0.2">
      <c r="A125" s="17">
        <v>514</v>
      </c>
      <c r="B125" s="17" t="s">
        <v>116</v>
      </c>
      <c r="C125" s="17" t="s">
        <v>178</v>
      </c>
      <c r="D125" s="17">
        <v>85</v>
      </c>
      <c r="E125" s="17">
        <v>85</v>
      </c>
      <c r="F125" s="17">
        <v>0</v>
      </c>
      <c r="G125" s="17"/>
      <c r="H125" s="17">
        <v>5</v>
      </c>
      <c r="I125" s="17" t="str">
        <f>INDEX(Products!$C$2:$C$31,MATCH(B125,Products!$A$2:$A$31,0))</f>
        <v>Yogurt</v>
      </c>
      <c r="J125" s="9">
        <f t="shared" si="1"/>
        <v>6</v>
      </c>
    </row>
    <row r="126" spans="1:10" ht="18" x14ac:dyDescent="0.2">
      <c r="A126" s="17">
        <v>515</v>
      </c>
      <c r="B126" s="17" t="s">
        <v>116</v>
      </c>
      <c r="C126" s="17" t="s">
        <v>179</v>
      </c>
      <c r="D126" s="17">
        <v>98</v>
      </c>
      <c r="E126" s="17">
        <v>98</v>
      </c>
      <c r="F126" s="17">
        <v>0</v>
      </c>
      <c r="G126" s="17"/>
      <c r="H126" s="17">
        <v>5</v>
      </c>
      <c r="I126" s="17" t="str">
        <f>INDEX(Products!$C$2:$C$31,MATCH(B126,Products!$A$2:$A$31,0))</f>
        <v>Yogurt</v>
      </c>
      <c r="J126" s="9">
        <f t="shared" si="1"/>
        <v>7</v>
      </c>
    </row>
    <row r="127" spans="1:10" ht="18" x14ac:dyDescent="0.2">
      <c r="A127" s="17">
        <v>516</v>
      </c>
      <c r="B127" s="17" t="s">
        <v>116</v>
      </c>
      <c r="C127" s="17" t="s">
        <v>180</v>
      </c>
      <c r="D127" s="17">
        <v>106</v>
      </c>
      <c r="E127" s="17">
        <v>106</v>
      </c>
      <c r="F127" s="17">
        <v>0</v>
      </c>
      <c r="G127" s="17"/>
      <c r="H127" s="17">
        <v>2</v>
      </c>
      <c r="I127" s="17" t="str">
        <f>INDEX(Products!$C$2:$C$31,MATCH(B127,Products!$A$2:$A$31,0))</f>
        <v>Yogurt</v>
      </c>
      <c r="J127" s="9">
        <f t="shared" si="1"/>
        <v>8</v>
      </c>
    </row>
    <row r="128" spans="1:10" ht="18" x14ac:dyDescent="0.2">
      <c r="A128" s="17">
        <v>517</v>
      </c>
      <c r="B128" s="17" t="s">
        <v>116</v>
      </c>
      <c r="C128" s="17" t="s">
        <v>181</v>
      </c>
      <c r="D128" s="17">
        <v>118</v>
      </c>
      <c r="E128" s="17">
        <v>118</v>
      </c>
      <c r="F128" s="17">
        <v>0</v>
      </c>
      <c r="G128" s="17"/>
      <c r="H128" s="17">
        <v>2</v>
      </c>
      <c r="I128" s="17" t="str">
        <f>INDEX(Products!$C$2:$C$31,MATCH(B128,Products!$A$2:$A$31,0))</f>
        <v>Yogurt</v>
      </c>
      <c r="J128" s="9">
        <f t="shared" si="1"/>
        <v>9</v>
      </c>
    </row>
    <row r="129" spans="1:10" ht="18" x14ac:dyDescent="0.2">
      <c r="A129" s="17">
        <v>518</v>
      </c>
      <c r="B129" s="17" t="s">
        <v>116</v>
      </c>
      <c r="C129" s="17" t="s">
        <v>182</v>
      </c>
      <c r="D129" s="17">
        <v>131</v>
      </c>
      <c r="E129" s="17">
        <v>131</v>
      </c>
      <c r="F129" s="17">
        <v>0</v>
      </c>
      <c r="G129" s="17"/>
      <c r="H129" s="17">
        <v>2</v>
      </c>
      <c r="I129" s="17" t="str">
        <f>INDEX(Products!$C$2:$C$31,MATCH(B129,Products!$A$2:$A$31,0))</f>
        <v>Yogurt</v>
      </c>
      <c r="J129" s="9">
        <f t="shared" si="1"/>
        <v>10</v>
      </c>
    </row>
    <row r="130" spans="1:10" ht="18" x14ac:dyDescent="0.2">
      <c r="A130" s="17">
        <v>519</v>
      </c>
      <c r="B130" s="17" t="s">
        <v>116</v>
      </c>
      <c r="C130" s="17" t="s">
        <v>183</v>
      </c>
      <c r="D130" s="17">
        <v>139</v>
      </c>
      <c r="E130" s="17">
        <v>139</v>
      </c>
      <c r="F130" s="17">
        <v>0</v>
      </c>
      <c r="G130" s="17"/>
      <c r="H130" s="17">
        <v>4</v>
      </c>
      <c r="I130" s="17" t="str">
        <f>INDEX(Products!$C$2:$C$31,MATCH(B130,Products!$A$2:$A$31,0))</f>
        <v>Yogurt</v>
      </c>
      <c r="J130" s="9">
        <f t="shared" ref="J130:J193" si="2">INT((DATEVALUE(C130)-DATE(2026,4,6))/7)</f>
        <v>11</v>
      </c>
    </row>
    <row r="131" spans="1:10" ht="18" x14ac:dyDescent="0.2">
      <c r="A131" s="17">
        <v>520</v>
      </c>
      <c r="B131" s="17" t="s">
        <v>116</v>
      </c>
      <c r="C131" s="17" t="s">
        <v>184</v>
      </c>
      <c r="D131" s="17">
        <v>149</v>
      </c>
      <c r="E131" s="17">
        <v>149</v>
      </c>
      <c r="F131" s="17">
        <v>0</v>
      </c>
      <c r="G131" s="17"/>
      <c r="H131" s="17">
        <v>2</v>
      </c>
      <c r="I131" s="17" t="str">
        <f>INDEX(Products!$C$2:$C$31,MATCH(B131,Products!$A$2:$A$31,0))</f>
        <v>Yogurt</v>
      </c>
      <c r="J131" s="9">
        <f t="shared" si="2"/>
        <v>12</v>
      </c>
    </row>
    <row r="132" spans="1:10" ht="18" x14ac:dyDescent="0.2">
      <c r="A132" s="17">
        <v>521</v>
      </c>
      <c r="B132" s="17" t="s">
        <v>118</v>
      </c>
      <c r="C132" s="17" t="s">
        <v>171</v>
      </c>
      <c r="D132" s="17">
        <v>110</v>
      </c>
      <c r="E132" s="17">
        <v>110</v>
      </c>
      <c r="F132" s="17">
        <v>0</v>
      </c>
      <c r="G132" s="17"/>
      <c r="H132" s="17">
        <v>1</v>
      </c>
      <c r="I132" s="17" t="str">
        <f>INDEX(Products!$C$2:$C$31,MATCH(B132,Products!$A$2:$A$31,0))</f>
        <v>Yogurt</v>
      </c>
      <c r="J132" s="9">
        <f t="shared" si="2"/>
        <v>0</v>
      </c>
    </row>
    <row r="133" spans="1:10" ht="18" x14ac:dyDescent="0.2">
      <c r="A133" s="17">
        <v>522</v>
      </c>
      <c r="B133" s="17" t="s">
        <v>118</v>
      </c>
      <c r="C133" s="17" t="s">
        <v>173</v>
      </c>
      <c r="D133" s="17">
        <v>107</v>
      </c>
      <c r="E133" s="17">
        <v>107</v>
      </c>
      <c r="F133" s="17">
        <v>0</v>
      </c>
      <c r="G133" s="17"/>
      <c r="H133" s="17">
        <v>4</v>
      </c>
      <c r="I133" s="17" t="str">
        <f>INDEX(Products!$C$2:$C$31,MATCH(B133,Products!$A$2:$A$31,0))</f>
        <v>Yogurt</v>
      </c>
      <c r="J133" s="9">
        <f t="shared" si="2"/>
        <v>1</v>
      </c>
    </row>
    <row r="134" spans="1:10" ht="18" x14ac:dyDescent="0.2">
      <c r="A134" s="17">
        <v>523</v>
      </c>
      <c r="B134" s="17" t="s">
        <v>118</v>
      </c>
      <c r="C134" s="17" t="s">
        <v>174</v>
      </c>
      <c r="D134" s="17">
        <v>99</v>
      </c>
      <c r="E134" s="17">
        <v>99</v>
      </c>
      <c r="F134" s="17">
        <v>0</v>
      </c>
      <c r="G134" s="17"/>
      <c r="H134" s="17">
        <v>4</v>
      </c>
      <c r="I134" s="17" t="str">
        <f>INDEX(Products!$C$2:$C$31,MATCH(B134,Products!$A$2:$A$31,0))</f>
        <v>Yogurt</v>
      </c>
      <c r="J134" s="9">
        <f t="shared" si="2"/>
        <v>2</v>
      </c>
    </row>
    <row r="135" spans="1:10" ht="18" x14ac:dyDescent="0.2">
      <c r="A135" s="17">
        <v>524</v>
      </c>
      <c r="B135" s="17" t="s">
        <v>118</v>
      </c>
      <c r="C135" s="17" t="s">
        <v>175</v>
      </c>
      <c r="D135" s="17">
        <v>95</v>
      </c>
      <c r="E135" s="17">
        <v>95</v>
      </c>
      <c r="F135" s="17">
        <v>0</v>
      </c>
      <c r="G135" s="17"/>
      <c r="H135" s="17">
        <v>2</v>
      </c>
      <c r="I135" s="17" t="str">
        <f>INDEX(Products!$C$2:$C$31,MATCH(B135,Products!$A$2:$A$31,0))</f>
        <v>Yogurt</v>
      </c>
      <c r="J135" s="9">
        <f t="shared" si="2"/>
        <v>3</v>
      </c>
    </row>
    <row r="136" spans="1:10" ht="18" x14ac:dyDescent="0.2">
      <c r="A136" s="17">
        <v>525</v>
      </c>
      <c r="B136" s="17" t="s">
        <v>118</v>
      </c>
      <c r="C136" s="17" t="s">
        <v>176</v>
      </c>
      <c r="D136" s="17">
        <v>87</v>
      </c>
      <c r="E136" s="17">
        <v>85</v>
      </c>
      <c r="F136" s="17">
        <v>-2</v>
      </c>
      <c r="G136" s="17" t="s">
        <v>172</v>
      </c>
      <c r="H136" s="17">
        <v>3</v>
      </c>
      <c r="I136" s="17" t="str">
        <f>INDEX(Products!$C$2:$C$31,MATCH(B136,Products!$A$2:$A$31,0))</f>
        <v>Yogurt</v>
      </c>
      <c r="J136" s="9">
        <f t="shared" si="2"/>
        <v>4</v>
      </c>
    </row>
    <row r="137" spans="1:10" ht="18" x14ac:dyDescent="0.2">
      <c r="A137" s="17">
        <v>526</v>
      </c>
      <c r="B137" s="17" t="s">
        <v>118</v>
      </c>
      <c r="C137" s="17" t="s">
        <v>177</v>
      </c>
      <c r="D137" s="17">
        <v>99</v>
      </c>
      <c r="E137" s="17">
        <v>98</v>
      </c>
      <c r="F137" s="17">
        <v>-1</v>
      </c>
      <c r="G137" s="17" t="s">
        <v>172</v>
      </c>
      <c r="H137" s="17">
        <v>5</v>
      </c>
      <c r="I137" s="17" t="str">
        <f>INDEX(Products!$C$2:$C$31,MATCH(B137,Products!$A$2:$A$31,0))</f>
        <v>Yogurt</v>
      </c>
      <c r="J137" s="9">
        <f t="shared" si="2"/>
        <v>5</v>
      </c>
    </row>
    <row r="138" spans="1:10" ht="18" x14ac:dyDescent="0.2">
      <c r="A138" s="17">
        <v>527</v>
      </c>
      <c r="B138" s="17" t="s">
        <v>118</v>
      </c>
      <c r="C138" s="17" t="s">
        <v>178</v>
      </c>
      <c r="D138" s="17">
        <v>96</v>
      </c>
      <c r="E138" s="17">
        <v>96</v>
      </c>
      <c r="F138" s="17">
        <v>0</v>
      </c>
      <c r="G138" s="17"/>
      <c r="H138" s="17">
        <v>5</v>
      </c>
      <c r="I138" s="17" t="str">
        <f>INDEX(Products!$C$2:$C$31,MATCH(B138,Products!$A$2:$A$31,0))</f>
        <v>Yogurt</v>
      </c>
      <c r="J138" s="9">
        <f t="shared" si="2"/>
        <v>6</v>
      </c>
    </row>
    <row r="139" spans="1:10" ht="18" x14ac:dyDescent="0.2">
      <c r="A139" s="17">
        <v>528</v>
      </c>
      <c r="B139" s="17" t="s">
        <v>118</v>
      </c>
      <c r="C139" s="17" t="s">
        <v>179</v>
      </c>
      <c r="D139" s="17">
        <v>91</v>
      </c>
      <c r="E139" s="17">
        <v>91</v>
      </c>
      <c r="F139" s="17">
        <v>0</v>
      </c>
      <c r="G139" s="17"/>
      <c r="H139" s="17">
        <v>1</v>
      </c>
      <c r="I139" s="17" t="str">
        <f>INDEX(Products!$C$2:$C$31,MATCH(B139,Products!$A$2:$A$31,0))</f>
        <v>Yogurt</v>
      </c>
      <c r="J139" s="9">
        <f t="shared" si="2"/>
        <v>7</v>
      </c>
    </row>
    <row r="140" spans="1:10" ht="18" x14ac:dyDescent="0.2">
      <c r="A140" s="17">
        <v>529</v>
      </c>
      <c r="B140" s="17" t="s">
        <v>118</v>
      </c>
      <c r="C140" s="17" t="s">
        <v>180</v>
      </c>
      <c r="D140" s="17">
        <v>104</v>
      </c>
      <c r="E140" s="17">
        <v>104</v>
      </c>
      <c r="F140" s="17">
        <v>0</v>
      </c>
      <c r="G140" s="17"/>
      <c r="H140" s="17">
        <v>2</v>
      </c>
      <c r="I140" s="17" t="str">
        <f>INDEX(Products!$C$2:$C$31,MATCH(B140,Products!$A$2:$A$31,0))</f>
        <v>Yogurt</v>
      </c>
      <c r="J140" s="9">
        <f t="shared" si="2"/>
        <v>8</v>
      </c>
    </row>
    <row r="141" spans="1:10" ht="18" x14ac:dyDescent="0.2">
      <c r="A141" s="17">
        <v>530</v>
      </c>
      <c r="B141" s="17" t="s">
        <v>118</v>
      </c>
      <c r="C141" s="17" t="s">
        <v>181</v>
      </c>
      <c r="D141" s="17">
        <v>107</v>
      </c>
      <c r="E141" s="17">
        <v>107</v>
      </c>
      <c r="F141" s="17">
        <v>0</v>
      </c>
      <c r="G141" s="17"/>
      <c r="H141" s="17">
        <v>3</v>
      </c>
      <c r="I141" s="17" t="str">
        <f>INDEX(Products!$C$2:$C$31,MATCH(B141,Products!$A$2:$A$31,0))</f>
        <v>Yogurt</v>
      </c>
      <c r="J141" s="9">
        <f t="shared" si="2"/>
        <v>9</v>
      </c>
    </row>
    <row r="142" spans="1:10" ht="18" x14ac:dyDescent="0.2">
      <c r="A142" s="17">
        <v>531</v>
      </c>
      <c r="B142" s="17" t="s">
        <v>118</v>
      </c>
      <c r="C142" s="17" t="s">
        <v>182</v>
      </c>
      <c r="D142" s="17">
        <v>93</v>
      </c>
      <c r="E142" s="17">
        <v>94</v>
      </c>
      <c r="F142" s="17">
        <v>1</v>
      </c>
      <c r="G142" s="17" t="s">
        <v>172</v>
      </c>
      <c r="H142" s="17">
        <v>3</v>
      </c>
      <c r="I142" s="17" t="str">
        <f>INDEX(Products!$C$2:$C$31,MATCH(B142,Products!$A$2:$A$31,0))</f>
        <v>Yogurt</v>
      </c>
      <c r="J142" s="9">
        <f t="shared" si="2"/>
        <v>10</v>
      </c>
    </row>
    <row r="143" spans="1:10" ht="18" x14ac:dyDescent="0.2">
      <c r="A143" s="17">
        <v>532</v>
      </c>
      <c r="B143" s="17" t="s">
        <v>118</v>
      </c>
      <c r="C143" s="17" t="s">
        <v>183</v>
      </c>
      <c r="D143" s="17">
        <v>91</v>
      </c>
      <c r="E143" s="17">
        <v>91</v>
      </c>
      <c r="F143" s="17">
        <v>0</v>
      </c>
      <c r="G143" s="17"/>
      <c r="H143" s="17">
        <v>5</v>
      </c>
      <c r="I143" s="17" t="str">
        <f>INDEX(Products!$C$2:$C$31,MATCH(B143,Products!$A$2:$A$31,0))</f>
        <v>Yogurt</v>
      </c>
      <c r="J143" s="9">
        <f t="shared" si="2"/>
        <v>11</v>
      </c>
    </row>
    <row r="144" spans="1:10" ht="18" x14ac:dyDescent="0.2">
      <c r="A144" s="17">
        <v>533</v>
      </c>
      <c r="B144" s="17" t="s">
        <v>118</v>
      </c>
      <c r="C144" s="17" t="s">
        <v>184</v>
      </c>
      <c r="D144" s="17">
        <v>79</v>
      </c>
      <c r="E144" s="17">
        <v>79</v>
      </c>
      <c r="F144" s="17">
        <v>0</v>
      </c>
      <c r="G144" s="17"/>
      <c r="H144" s="17">
        <v>5</v>
      </c>
      <c r="I144" s="17" t="str">
        <f>INDEX(Products!$C$2:$C$31,MATCH(B144,Products!$A$2:$A$31,0))</f>
        <v>Yogurt</v>
      </c>
      <c r="J144" s="9">
        <f t="shared" si="2"/>
        <v>12</v>
      </c>
    </row>
    <row r="145" spans="1:10" ht="18" x14ac:dyDescent="0.2">
      <c r="A145" s="17">
        <v>534</v>
      </c>
      <c r="B145" s="17" t="s">
        <v>120</v>
      </c>
      <c r="C145" s="17" t="s">
        <v>171</v>
      </c>
      <c r="D145" s="17">
        <v>93</v>
      </c>
      <c r="E145" s="17">
        <v>94</v>
      </c>
      <c r="F145" s="17">
        <v>1</v>
      </c>
      <c r="G145" s="17" t="s">
        <v>172</v>
      </c>
      <c r="H145" s="17">
        <v>5</v>
      </c>
      <c r="I145" s="17" t="str">
        <f>INDEX(Products!$C$2:$C$31,MATCH(B145,Products!$A$2:$A$31,0))</f>
        <v>Butter</v>
      </c>
      <c r="J145" s="9">
        <f t="shared" si="2"/>
        <v>0</v>
      </c>
    </row>
    <row r="146" spans="1:10" ht="18" x14ac:dyDescent="0.2">
      <c r="A146" s="17">
        <v>535</v>
      </c>
      <c r="B146" s="17" t="s">
        <v>120</v>
      </c>
      <c r="C146" s="17" t="s">
        <v>173</v>
      </c>
      <c r="D146" s="17">
        <v>99</v>
      </c>
      <c r="E146" s="17">
        <v>99</v>
      </c>
      <c r="F146" s="17">
        <v>0</v>
      </c>
      <c r="G146" s="17"/>
      <c r="H146" s="17">
        <v>2</v>
      </c>
      <c r="I146" s="17" t="str">
        <f>INDEX(Products!$C$2:$C$31,MATCH(B146,Products!$A$2:$A$31,0))</f>
        <v>Butter</v>
      </c>
      <c r="J146" s="9">
        <f t="shared" si="2"/>
        <v>1</v>
      </c>
    </row>
    <row r="147" spans="1:10" ht="18" x14ac:dyDescent="0.2">
      <c r="A147" s="17">
        <v>536</v>
      </c>
      <c r="B147" s="17" t="s">
        <v>120</v>
      </c>
      <c r="C147" s="17" t="s">
        <v>174</v>
      </c>
      <c r="D147" s="17">
        <v>95</v>
      </c>
      <c r="E147" s="17">
        <v>95</v>
      </c>
      <c r="F147" s="17">
        <v>0</v>
      </c>
      <c r="G147" s="17"/>
      <c r="H147" s="17">
        <v>3</v>
      </c>
      <c r="I147" s="17" t="str">
        <f>INDEX(Products!$C$2:$C$31,MATCH(B147,Products!$A$2:$A$31,0))</f>
        <v>Butter</v>
      </c>
      <c r="J147" s="9">
        <f t="shared" si="2"/>
        <v>2</v>
      </c>
    </row>
    <row r="148" spans="1:10" ht="18" x14ac:dyDescent="0.2">
      <c r="A148" s="17">
        <v>537</v>
      </c>
      <c r="B148" s="17" t="s">
        <v>120</v>
      </c>
      <c r="C148" s="17" t="s">
        <v>175</v>
      </c>
      <c r="D148" s="17">
        <v>99</v>
      </c>
      <c r="E148" s="17">
        <v>99</v>
      </c>
      <c r="F148" s="17">
        <v>0</v>
      </c>
      <c r="G148" s="17"/>
      <c r="H148" s="17">
        <v>1</v>
      </c>
      <c r="I148" s="17" t="str">
        <f>INDEX(Products!$C$2:$C$31,MATCH(B148,Products!$A$2:$A$31,0))</f>
        <v>Butter</v>
      </c>
      <c r="J148" s="9">
        <f t="shared" si="2"/>
        <v>3</v>
      </c>
    </row>
    <row r="149" spans="1:10" ht="18" x14ac:dyDescent="0.2">
      <c r="A149" s="17">
        <v>538</v>
      </c>
      <c r="B149" s="17" t="s">
        <v>120</v>
      </c>
      <c r="C149" s="17" t="s">
        <v>176</v>
      </c>
      <c r="D149" s="17">
        <v>107</v>
      </c>
      <c r="E149" s="17">
        <v>107</v>
      </c>
      <c r="F149" s="17">
        <v>0</v>
      </c>
      <c r="G149" s="17"/>
      <c r="H149" s="17">
        <v>5</v>
      </c>
      <c r="I149" s="17" t="str">
        <f>INDEX(Products!$C$2:$C$31,MATCH(B149,Products!$A$2:$A$31,0))</f>
        <v>Butter</v>
      </c>
      <c r="J149" s="9">
        <f t="shared" si="2"/>
        <v>4</v>
      </c>
    </row>
    <row r="150" spans="1:10" ht="18" x14ac:dyDescent="0.2">
      <c r="A150" s="17">
        <v>539</v>
      </c>
      <c r="B150" s="17" t="s">
        <v>120</v>
      </c>
      <c r="C150" s="17" t="s">
        <v>177</v>
      </c>
      <c r="D150" s="17">
        <v>101</v>
      </c>
      <c r="E150" s="17">
        <v>101</v>
      </c>
      <c r="F150" s="17">
        <v>0</v>
      </c>
      <c r="G150" s="17"/>
      <c r="H150" s="17">
        <v>3</v>
      </c>
      <c r="I150" s="17" t="str">
        <f>INDEX(Products!$C$2:$C$31,MATCH(B150,Products!$A$2:$A$31,0))</f>
        <v>Butter</v>
      </c>
      <c r="J150" s="9">
        <f t="shared" si="2"/>
        <v>5</v>
      </c>
    </row>
    <row r="151" spans="1:10" ht="18" x14ac:dyDescent="0.2">
      <c r="A151" s="17">
        <v>540</v>
      </c>
      <c r="B151" s="17" t="s">
        <v>120</v>
      </c>
      <c r="C151" s="17" t="s">
        <v>178</v>
      </c>
      <c r="D151" s="17">
        <v>98</v>
      </c>
      <c r="E151" s="17">
        <v>98</v>
      </c>
      <c r="F151" s="17">
        <v>0</v>
      </c>
      <c r="G151" s="17"/>
      <c r="H151" s="17">
        <v>5</v>
      </c>
      <c r="I151" s="17" t="str">
        <f>INDEX(Products!$C$2:$C$31,MATCH(B151,Products!$A$2:$A$31,0))</f>
        <v>Butter</v>
      </c>
      <c r="J151" s="9">
        <f t="shared" si="2"/>
        <v>6</v>
      </c>
    </row>
    <row r="152" spans="1:10" ht="18" x14ac:dyDescent="0.2">
      <c r="A152" s="17">
        <v>541</v>
      </c>
      <c r="B152" s="17" t="s">
        <v>120</v>
      </c>
      <c r="C152" s="17" t="s">
        <v>179</v>
      </c>
      <c r="D152" s="17">
        <v>87</v>
      </c>
      <c r="E152" s="17">
        <v>87</v>
      </c>
      <c r="F152" s="17">
        <v>0</v>
      </c>
      <c r="G152" s="17"/>
      <c r="H152" s="17">
        <v>4</v>
      </c>
      <c r="I152" s="17" t="str">
        <f>INDEX(Products!$C$2:$C$31,MATCH(B152,Products!$A$2:$A$31,0))</f>
        <v>Butter</v>
      </c>
      <c r="J152" s="9">
        <f t="shared" si="2"/>
        <v>7</v>
      </c>
    </row>
    <row r="153" spans="1:10" ht="18" x14ac:dyDescent="0.2">
      <c r="A153" s="17">
        <v>542</v>
      </c>
      <c r="B153" s="17" t="s">
        <v>120</v>
      </c>
      <c r="C153" s="17" t="s">
        <v>180</v>
      </c>
      <c r="D153" s="17">
        <v>93</v>
      </c>
      <c r="E153" s="17">
        <v>93</v>
      </c>
      <c r="F153" s="17">
        <v>0</v>
      </c>
      <c r="G153" s="17"/>
      <c r="H153" s="17">
        <v>2</v>
      </c>
      <c r="I153" s="17" t="str">
        <f>INDEX(Products!$C$2:$C$31,MATCH(B153,Products!$A$2:$A$31,0))</f>
        <v>Butter</v>
      </c>
      <c r="J153" s="9">
        <f t="shared" si="2"/>
        <v>8</v>
      </c>
    </row>
    <row r="154" spans="1:10" ht="18" x14ac:dyDescent="0.2">
      <c r="A154" s="17">
        <v>543</v>
      </c>
      <c r="B154" s="17" t="s">
        <v>120</v>
      </c>
      <c r="C154" s="17" t="s">
        <v>181</v>
      </c>
      <c r="D154" s="17">
        <v>97</v>
      </c>
      <c r="E154" s="17">
        <v>97</v>
      </c>
      <c r="F154" s="17">
        <v>0</v>
      </c>
      <c r="G154" s="17"/>
      <c r="H154" s="17">
        <v>4</v>
      </c>
      <c r="I154" s="17" t="str">
        <f>INDEX(Products!$C$2:$C$31,MATCH(B154,Products!$A$2:$A$31,0))</f>
        <v>Butter</v>
      </c>
      <c r="J154" s="9">
        <f t="shared" si="2"/>
        <v>9</v>
      </c>
    </row>
    <row r="155" spans="1:10" ht="18" x14ac:dyDescent="0.2">
      <c r="A155" s="17">
        <v>544</v>
      </c>
      <c r="B155" s="17" t="s">
        <v>120</v>
      </c>
      <c r="C155" s="17" t="s">
        <v>182</v>
      </c>
      <c r="D155" s="17">
        <v>99</v>
      </c>
      <c r="E155" s="17">
        <v>99</v>
      </c>
      <c r="F155" s="17">
        <v>0</v>
      </c>
      <c r="G155" s="17"/>
      <c r="H155" s="17">
        <v>3</v>
      </c>
      <c r="I155" s="17" t="str">
        <f>INDEX(Products!$C$2:$C$31,MATCH(B155,Products!$A$2:$A$31,0))</f>
        <v>Butter</v>
      </c>
      <c r="J155" s="9">
        <f t="shared" si="2"/>
        <v>10</v>
      </c>
    </row>
    <row r="156" spans="1:10" ht="18" x14ac:dyDescent="0.2">
      <c r="A156" s="17">
        <v>545</v>
      </c>
      <c r="B156" s="17" t="s">
        <v>120</v>
      </c>
      <c r="C156" s="17" t="s">
        <v>183</v>
      </c>
      <c r="D156" s="17">
        <v>93</v>
      </c>
      <c r="E156" s="17">
        <v>93</v>
      </c>
      <c r="F156" s="17">
        <v>0</v>
      </c>
      <c r="G156" s="17"/>
      <c r="H156" s="17">
        <v>5</v>
      </c>
      <c r="I156" s="17" t="str">
        <f>INDEX(Products!$C$2:$C$31,MATCH(B156,Products!$A$2:$A$31,0))</f>
        <v>Butter</v>
      </c>
      <c r="J156" s="9">
        <f t="shared" si="2"/>
        <v>11</v>
      </c>
    </row>
    <row r="157" spans="1:10" ht="18" x14ac:dyDescent="0.2">
      <c r="A157" s="17">
        <v>546</v>
      </c>
      <c r="B157" s="17" t="s">
        <v>120</v>
      </c>
      <c r="C157" s="17" t="s">
        <v>184</v>
      </c>
      <c r="D157" s="17">
        <v>97</v>
      </c>
      <c r="E157" s="17">
        <v>97</v>
      </c>
      <c r="F157" s="17">
        <v>0</v>
      </c>
      <c r="G157" s="17"/>
      <c r="H157" s="17">
        <v>4</v>
      </c>
      <c r="I157" s="17" t="str">
        <f>INDEX(Products!$C$2:$C$31,MATCH(B157,Products!$A$2:$A$31,0))</f>
        <v>Butter</v>
      </c>
      <c r="J157" s="9">
        <f t="shared" si="2"/>
        <v>12</v>
      </c>
    </row>
    <row r="158" spans="1:10" ht="18" x14ac:dyDescent="0.2">
      <c r="A158" s="17">
        <v>547</v>
      </c>
      <c r="B158" s="17" t="s">
        <v>123</v>
      </c>
      <c r="C158" s="17" t="s">
        <v>171</v>
      </c>
      <c r="D158" s="17">
        <v>119</v>
      </c>
      <c r="E158" s="17">
        <v>119</v>
      </c>
      <c r="F158" s="17">
        <v>0</v>
      </c>
      <c r="G158" s="17"/>
      <c r="H158" s="17">
        <v>5</v>
      </c>
      <c r="I158" s="17" t="str">
        <f>INDEX(Products!$C$2:$C$31,MATCH(B158,Products!$A$2:$A$31,0))</f>
        <v>Butter</v>
      </c>
      <c r="J158" s="9">
        <f t="shared" si="2"/>
        <v>0</v>
      </c>
    </row>
    <row r="159" spans="1:10" ht="18" x14ac:dyDescent="0.2">
      <c r="A159" s="17">
        <v>548</v>
      </c>
      <c r="B159" s="17" t="s">
        <v>123</v>
      </c>
      <c r="C159" s="17" t="s">
        <v>173</v>
      </c>
      <c r="D159" s="17">
        <v>119</v>
      </c>
      <c r="E159" s="17">
        <v>119</v>
      </c>
      <c r="F159" s="17">
        <v>0</v>
      </c>
      <c r="G159" s="17"/>
      <c r="H159" s="17">
        <v>2</v>
      </c>
      <c r="I159" s="17" t="str">
        <f>INDEX(Products!$C$2:$C$31,MATCH(B159,Products!$A$2:$A$31,0))</f>
        <v>Butter</v>
      </c>
      <c r="J159" s="9">
        <f t="shared" si="2"/>
        <v>1</v>
      </c>
    </row>
    <row r="160" spans="1:10" ht="18" x14ac:dyDescent="0.2">
      <c r="A160" s="17">
        <v>549</v>
      </c>
      <c r="B160" s="17" t="s">
        <v>123</v>
      </c>
      <c r="C160" s="17" t="s">
        <v>174</v>
      </c>
      <c r="D160" s="17">
        <v>125</v>
      </c>
      <c r="E160" s="17">
        <v>127</v>
      </c>
      <c r="F160" s="17">
        <v>2</v>
      </c>
      <c r="G160" s="17" t="s">
        <v>186</v>
      </c>
      <c r="H160" s="17">
        <v>5</v>
      </c>
      <c r="I160" s="17" t="str">
        <f>INDEX(Products!$C$2:$C$31,MATCH(B160,Products!$A$2:$A$31,0))</f>
        <v>Butter</v>
      </c>
      <c r="J160" s="9">
        <f t="shared" si="2"/>
        <v>2</v>
      </c>
    </row>
    <row r="161" spans="1:10" ht="18" x14ac:dyDescent="0.2">
      <c r="A161" s="17">
        <v>550</v>
      </c>
      <c r="B161" s="17" t="s">
        <v>123</v>
      </c>
      <c r="C161" s="17" t="s">
        <v>175</v>
      </c>
      <c r="D161" s="17">
        <v>120</v>
      </c>
      <c r="E161" s="17">
        <v>118</v>
      </c>
      <c r="F161" s="17">
        <v>-2</v>
      </c>
      <c r="G161" s="17" t="s">
        <v>186</v>
      </c>
      <c r="H161" s="17">
        <v>2</v>
      </c>
      <c r="I161" s="17" t="str">
        <f>INDEX(Products!$C$2:$C$31,MATCH(B161,Products!$A$2:$A$31,0))</f>
        <v>Butter</v>
      </c>
      <c r="J161" s="9">
        <f t="shared" si="2"/>
        <v>3</v>
      </c>
    </row>
    <row r="162" spans="1:10" ht="18" x14ac:dyDescent="0.2">
      <c r="A162" s="17">
        <v>551</v>
      </c>
      <c r="B162" s="17" t="s">
        <v>123</v>
      </c>
      <c r="C162" s="17" t="s">
        <v>176</v>
      </c>
      <c r="D162" s="17">
        <v>130</v>
      </c>
      <c r="E162" s="17">
        <v>130</v>
      </c>
      <c r="F162" s="17">
        <v>0</v>
      </c>
      <c r="G162" s="17"/>
      <c r="H162" s="17">
        <v>1</v>
      </c>
      <c r="I162" s="17" t="str">
        <f>INDEX(Products!$C$2:$C$31,MATCH(B162,Products!$A$2:$A$31,0))</f>
        <v>Butter</v>
      </c>
      <c r="J162" s="9">
        <f t="shared" si="2"/>
        <v>4</v>
      </c>
    </row>
    <row r="163" spans="1:10" ht="18" x14ac:dyDescent="0.2">
      <c r="A163" s="17">
        <v>552</v>
      </c>
      <c r="B163" s="17" t="s">
        <v>123</v>
      </c>
      <c r="C163" s="17" t="s">
        <v>177</v>
      </c>
      <c r="D163" s="17">
        <v>116</v>
      </c>
      <c r="E163" s="17">
        <v>116</v>
      </c>
      <c r="F163" s="17">
        <v>0</v>
      </c>
      <c r="G163" s="17"/>
      <c r="H163" s="17">
        <v>4</v>
      </c>
      <c r="I163" s="17" t="str">
        <f>INDEX(Products!$C$2:$C$31,MATCH(B163,Products!$A$2:$A$31,0))</f>
        <v>Butter</v>
      </c>
      <c r="J163" s="9">
        <f t="shared" si="2"/>
        <v>5</v>
      </c>
    </row>
    <row r="164" spans="1:10" ht="18" x14ac:dyDescent="0.2">
      <c r="A164" s="17">
        <v>553</v>
      </c>
      <c r="B164" s="17" t="s">
        <v>123</v>
      </c>
      <c r="C164" s="17" t="s">
        <v>178</v>
      </c>
      <c r="D164" s="17">
        <v>120</v>
      </c>
      <c r="E164" s="17">
        <v>120</v>
      </c>
      <c r="F164" s="17">
        <v>0</v>
      </c>
      <c r="G164" s="17"/>
      <c r="H164" s="17">
        <v>1</v>
      </c>
      <c r="I164" s="17" t="str">
        <f>INDEX(Products!$C$2:$C$31,MATCH(B164,Products!$A$2:$A$31,0))</f>
        <v>Butter</v>
      </c>
      <c r="J164" s="9">
        <f t="shared" si="2"/>
        <v>6</v>
      </c>
    </row>
    <row r="165" spans="1:10" ht="18" x14ac:dyDescent="0.2">
      <c r="A165" s="17">
        <v>554</v>
      </c>
      <c r="B165" s="17" t="s">
        <v>123</v>
      </c>
      <c r="C165" s="17" t="s">
        <v>179</v>
      </c>
      <c r="D165" s="17">
        <v>119</v>
      </c>
      <c r="E165" s="17">
        <v>119</v>
      </c>
      <c r="F165" s="17">
        <v>0</v>
      </c>
      <c r="G165" s="17"/>
      <c r="H165" s="17">
        <v>5</v>
      </c>
      <c r="I165" s="17" t="str">
        <f>INDEX(Products!$C$2:$C$31,MATCH(B165,Products!$A$2:$A$31,0))</f>
        <v>Butter</v>
      </c>
      <c r="J165" s="9">
        <f t="shared" si="2"/>
        <v>7</v>
      </c>
    </row>
    <row r="166" spans="1:10" ht="18" x14ac:dyDescent="0.2">
      <c r="A166" s="17">
        <v>555</v>
      </c>
      <c r="B166" s="17" t="s">
        <v>123</v>
      </c>
      <c r="C166" s="17" t="s">
        <v>180</v>
      </c>
      <c r="D166" s="17">
        <v>110</v>
      </c>
      <c r="E166" s="17">
        <v>110</v>
      </c>
      <c r="F166" s="17">
        <v>0</v>
      </c>
      <c r="G166" s="17"/>
      <c r="H166" s="17">
        <v>4</v>
      </c>
      <c r="I166" s="17" t="str">
        <f>INDEX(Products!$C$2:$C$31,MATCH(B166,Products!$A$2:$A$31,0))</f>
        <v>Butter</v>
      </c>
      <c r="J166" s="9">
        <f t="shared" si="2"/>
        <v>8</v>
      </c>
    </row>
    <row r="167" spans="1:10" ht="18" x14ac:dyDescent="0.2">
      <c r="A167" s="17">
        <v>556</v>
      </c>
      <c r="B167" s="17" t="s">
        <v>123</v>
      </c>
      <c r="C167" s="17" t="s">
        <v>181</v>
      </c>
      <c r="D167" s="17">
        <v>110</v>
      </c>
      <c r="E167" s="17">
        <v>110</v>
      </c>
      <c r="F167" s="17">
        <v>0</v>
      </c>
      <c r="G167" s="17"/>
      <c r="H167" s="17">
        <v>2</v>
      </c>
      <c r="I167" s="17" t="str">
        <f>INDEX(Products!$C$2:$C$31,MATCH(B167,Products!$A$2:$A$31,0))</f>
        <v>Butter</v>
      </c>
      <c r="J167" s="9">
        <f t="shared" si="2"/>
        <v>9</v>
      </c>
    </row>
    <row r="168" spans="1:10" ht="18" x14ac:dyDescent="0.2">
      <c r="A168" s="17">
        <v>557</v>
      </c>
      <c r="B168" s="17" t="s">
        <v>123</v>
      </c>
      <c r="C168" s="17" t="s">
        <v>182</v>
      </c>
      <c r="D168" s="17">
        <v>115</v>
      </c>
      <c r="E168" s="17">
        <v>115</v>
      </c>
      <c r="F168" s="17">
        <v>0</v>
      </c>
      <c r="G168" s="17"/>
      <c r="H168" s="17">
        <v>1</v>
      </c>
      <c r="I168" s="17" t="str">
        <f>INDEX(Products!$C$2:$C$31,MATCH(B168,Products!$A$2:$A$31,0))</f>
        <v>Butter</v>
      </c>
      <c r="J168" s="9">
        <f t="shared" si="2"/>
        <v>10</v>
      </c>
    </row>
    <row r="169" spans="1:10" ht="18" x14ac:dyDescent="0.2">
      <c r="A169" s="17">
        <v>558</v>
      </c>
      <c r="B169" s="17" t="s">
        <v>123</v>
      </c>
      <c r="C169" s="17" t="s">
        <v>183</v>
      </c>
      <c r="D169" s="17">
        <v>124</v>
      </c>
      <c r="E169" s="17">
        <v>124</v>
      </c>
      <c r="F169" s="17">
        <v>0</v>
      </c>
      <c r="G169" s="17"/>
      <c r="H169" s="17">
        <v>2</v>
      </c>
      <c r="I169" s="17" t="str">
        <f>INDEX(Products!$C$2:$C$31,MATCH(B169,Products!$A$2:$A$31,0))</f>
        <v>Butter</v>
      </c>
      <c r="J169" s="9">
        <f t="shared" si="2"/>
        <v>11</v>
      </c>
    </row>
    <row r="170" spans="1:10" ht="18" x14ac:dyDescent="0.2">
      <c r="A170" s="17">
        <v>559</v>
      </c>
      <c r="B170" s="17" t="s">
        <v>123</v>
      </c>
      <c r="C170" s="17" t="s">
        <v>184</v>
      </c>
      <c r="D170" s="17">
        <v>134</v>
      </c>
      <c r="E170" s="17">
        <v>134</v>
      </c>
      <c r="F170" s="17">
        <v>0</v>
      </c>
      <c r="G170" s="17"/>
      <c r="H170" s="17">
        <v>5</v>
      </c>
      <c r="I170" s="17" t="str">
        <f>INDEX(Products!$C$2:$C$31,MATCH(B170,Products!$A$2:$A$31,0))</f>
        <v>Butter</v>
      </c>
      <c r="J170" s="9">
        <f t="shared" si="2"/>
        <v>12</v>
      </c>
    </row>
    <row r="171" spans="1:10" ht="18" x14ac:dyDescent="0.2">
      <c r="A171" s="17">
        <v>560</v>
      </c>
      <c r="B171" s="17" t="s">
        <v>125</v>
      </c>
      <c r="C171" s="17" t="s">
        <v>171</v>
      </c>
      <c r="D171" s="17">
        <v>136</v>
      </c>
      <c r="E171" s="17">
        <v>136</v>
      </c>
      <c r="F171" s="17">
        <v>0</v>
      </c>
      <c r="G171" s="17"/>
      <c r="H171" s="17">
        <v>1</v>
      </c>
      <c r="I171" s="17" t="str">
        <f>INDEX(Products!$C$2:$C$31,MATCH(B171,Products!$A$2:$A$31,0))</f>
        <v>Butter</v>
      </c>
      <c r="J171" s="9">
        <f t="shared" si="2"/>
        <v>0</v>
      </c>
    </row>
    <row r="172" spans="1:10" ht="18" x14ac:dyDescent="0.2">
      <c r="A172" s="17">
        <v>561</v>
      </c>
      <c r="B172" s="17" t="s">
        <v>125</v>
      </c>
      <c r="C172" s="17" t="s">
        <v>173</v>
      </c>
      <c r="D172" s="17">
        <v>135</v>
      </c>
      <c r="E172" s="17">
        <v>135</v>
      </c>
      <c r="F172" s="17">
        <v>0</v>
      </c>
      <c r="G172" s="17"/>
      <c r="H172" s="17">
        <v>4</v>
      </c>
      <c r="I172" s="17" t="str">
        <f>INDEX(Products!$C$2:$C$31,MATCH(B172,Products!$A$2:$A$31,0))</f>
        <v>Butter</v>
      </c>
      <c r="J172" s="9">
        <f t="shared" si="2"/>
        <v>1</v>
      </c>
    </row>
    <row r="173" spans="1:10" ht="18" x14ac:dyDescent="0.2">
      <c r="A173" s="17">
        <v>562</v>
      </c>
      <c r="B173" s="17" t="s">
        <v>125</v>
      </c>
      <c r="C173" s="17" t="s">
        <v>174</v>
      </c>
      <c r="D173" s="17">
        <v>141</v>
      </c>
      <c r="E173" s="17">
        <v>141</v>
      </c>
      <c r="F173" s="17">
        <v>0</v>
      </c>
      <c r="G173" s="17"/>
      <c r="H173" s="17">
        <v>5</v>
      </c>
      <c r="I173" s="17" t="str">
        <f>INDEX(Products!$C$2:$C$31,MATCH(B173,Products!$A$2:$A$31,0))</f>
        <v>Butter</v>
      </c>
      <c r="J173" s="9">
        <f t="shared" si="2"/>
        <v>2</v>
      </c>
    </row>
    <row r="174" spans="1:10" ht="18" x14ac:dyDescent="0.2">
      <c r="A174" s="17">
        <v>563</v>
      </c>
      <c r="B174" s="17" t="s">
        <v>125</v>
      </c>
      <c r="C174" s="17" t="s">
        <v>175</v>
      </c>
      <c r="D174" s="17">
        <v>145</v>
      </c>
      <c r="E174" s="17">
        <v>145</v>
      </c>
      <c r="F174" s="17">
        <v>0</v>
      </c>
      <c r="G174" s="17"/>
      <c r="H174" s="17">
        <v>4</v>
      </c>
      <c r="I174" s="17" t="str">
        <f>INDEX(Products!$C$2:$C$31,MATCH(B174,Products!$A$2:$A$31,0))</f>
        <v>Butter</v>
      </c>
      <c r="J174" s="9">
        <f t="shared" si="2"/>
        <v>3</v>
      </c>
    </row>
    <row r="175" spans="1:10" ht="18" x14ac:dyDescent="0.2">
      <c r="A175" s="17">
        <v>564</v>
      </c>
      <c r="B175" s="17" t="s">
        <v>125</v>
      </c>
      <c r="C175" s="17" t="s">
        <v>176</v>
      </c>
      <c r="D175" s="17">
        <v>149</v>
      </c>
      <c r="E175" s="17">
        <v>149</v>
      </c>
      <c r="F175" s="17">
        <v>0</v>
      </c>
      <c r="G175" s="17"/>
      <c r="H175" s="17">
        <v>5</v>
      </c>
      <c r="I175" s="17" t="str">
        <f>INDEX(Products!$C$2:$C$31,MATCH(B175,Products!$A$2:$A$31,0))</f>
        <v>Butter</v>
      </c>
      <c r="J175" s="9">
        <f t="shared" si="2"/>
        <v>4</v>
      </c>
    </row>
    <row r="176" spans="1:10" ht="18" x14ac:dyDescent="0.2">
      <c r="A176" s="17">
        <v>565</v>
      </c>
      <c r="B176" s="17" t="s">
        <v>125</v>
      </c>
      <c r="C176" s="17" t="s">
        <v>177</v>
      </c>
      <c r="D176" s="17">
        <v>147</v>
      </c>
      <c r="E176" s="17">
        <v>147</v>
      </c>
      <c r="F176" s="17">
        <v>0</v>
      </c>
      <c r="G176" s="17"/>
      <c r="H176" s="17">
        <v>5</v>
      </c>
      <c r="I176" s="17" t="str">
        <f>INDEX(Products!$C$2:$C$31,MATCH(B176,Products!$A$2:$A$31,0))</f>
        <v>Butter</v>
      </c>
      <c r="J176" s="9">
        <f t="shared" si="2"/>
        <v>5</v>
      </c>
    </row>
    <row r="177" spans="1:10" ht="18" x14ac:dyDescent="0.2">
      <c r="A177" s="17">
        <v>566</v>
      </c>
      <c r="B177" s="17" t="s">
        <v>125</v>
      </c>
      <c r="C177" s="17" t="s">
        <v>178</v>
      </c>
      <c r="D177" s="17">
        <v>146</v>
      </c>
      <c r="E177" s="17">
        <v>146</v>
      </c>
      <c r="F177" s="17">
        <v>0</v>
      </c>
      <c r="G177" s="17"/>
      <c r="H177" s="17">
        <v>4</v>
      </c>
      <c r="I177" s="17" t="str">
        <f>INDEX(Products!$C$2:$C$31,MATCH(B177,Products!$A$2:$A$31,0))</f>
        <v>Butter</v>
      </c>
      <c r="J177" s="9">
        <f t="shared" si="2"/>
        <v>6</v>
      </c>
    </row>
    <row r="178" spans="1:10" ht="18" x14ac:dyDescent="0.2">
      <c r="A178" s="17">
        <v>567</v>
      </c>
      <c r="B178" s="17" t="s">
        <v>125</v>
      </c>
      <c r="C178" s="17" t="s">
        <v>179</v>
      </c>
      <c r="D178" s="17">
        <v>145</v>
      </c>
      <c r="E178" s="17">
        <v>145</v>
      </c>
      <c r="F178" s="17">
        <v>0</v>
      </c>
      <c r="G178" s="17"/>
      <c r="H178" s="17">
        <v>2</v>
      </c>
      <c r="I178" s="17" t="str">
        <f>INDEX(Products!$C$2:$C$31,MATCH(B178,Products!$A$2:$A$31,0))</f>
        <v>Butter</v>
      </c>
      <c r="J178" s="9">
        <f t="shared" si="2"/>
        <v>7</v>
      </c>
    </row>
    <row r="179" spans="1:10" ht="18" x14ac:dyDescent="0.2">
      <c r="A179" s="17">
        <v>568</v>
      </c>
      <c r="B179" s="17" t="s">
        <v>125</v>
      </c>
      <c r="C179" s="17" t="s">
        <v>180</v>
      </c>
      <c r="D179" s="17">
        <v>156</v>
      </c>
      <c r="E179" s="17">
        <v>156</v>
      </c>
      <c r="F179" s="17">
        <v>0</v>
      </c>
      <c r="G179" s="17"/>
      <c r="H179" s="17">
        <v>5</v>
      </c>
      <c r="I179" s="17" t="str">
        <f>INDEX(Products!$C$2:$C$31,MATCH(B179,Products!$A$2:$A$31,0))</f>
        <v>Butter</v>
      </c>
      <c r="J179" s="9">
        <f t="shared" si="2"/>
        <v>8</v>
      </c>
    </row>
    <row r="180" spans="1:10" ht="18" x14ac:dyDescent="0.2">
      <c r="A180" s="17">
        <v>569</v>
      </c>
      <c r="B180" s="17" t="s">
        <v>125</v>
      </c>
      <c r="C180" s="17" t="s">
        <v>181</v>
      </c>
      <c r="D180" s="17">
        <v>156</v>
      </c>
      <c r="E180" s="17">
        <v>156</v>
      </c>
      <c r="F180" s="17">
        <v>0</v>
      </c>
      <c r="G180" s="17"/>
      <c r="H180" s="17">
        <v>3</v>
      </c>
      <c r="I180" s="17" t="str">
        <f>INDEX(Products!$C$2:$C$31,MATCH(B180,Products!$A$2:$A$31,0))</f>
        <v>Butter</v>
      </c>
      <c r="J180" s="9">
        <f t="shared" si="2"/>
        <v>9</v>
      </c>
    </row>
    <row r="181" spans="1:10" ht="18" x14ac:dyDescent="0.2">
      <c r="A181" s="17">
        <v>570</v>
      </c>
      <c r="B181" s="17" t="s">
        <v>125</v>
      </c>
      <c r="C181" s="17" t="s">
        <v>182</v>
      </c>
      <c r="D181" s="17">
        <v>155</v>
      </c>
      <c r="E181" s="17">
        <v>154</v>
      </c>
      <c r="F181" s="17">
        <v>-1</v>
      </c>
      <c r="G181" s="17" t="s">
        <v>172</v>
      </c>
      <c r="H181" s="17">
        <v>3</v>
      </c>
      <c r="I181" s="17" t="str">
        <f>INDEX(Products!$C$2:$C$31,MATCH(B181,Products!$A$2:$A$31,0))</f>
        <v>Butter</v>
      </c>
      <c r="J181" s="9">
        <f t="shared" si="2"/>
        <v>10</v>
      </c>
    </row>
    <row r="182" spans="1:10" ht="18" x14ac:dyDescent="0.2">
      <c r="A182" s="17">
        <v>571</v>
      </c>
      <c r="B182" s="17" t="s">
        <v>125</v>
      </c>
      <c r="C182" s="17" t="s">
        <v>183</v>
      </c>
      <c r="D182" s="17">
        <v>150</v>
      </c>
      <c r="E182" s="17">
        <v>150</v>
      </c>
      <c r="F182" s="17">
        <v>0</v>
      </c>
      <c r="G182" s="17"/>
      <c r="H182" s="17">
        <v>1</v>
      </c>
      <c r="I182" s="17" t="str">
        <f>INDEX(Products!$C$2:$C$31,MATCH(B182,Products!$A$2:$A$31,0))</f>
        <v>Butter</v>
      </c>
      <c r="J182" s="9">
        <f t="shared" si="2"/>
        <v>11</v>
      </c>
    </row>
    <row r="183" spans="1:10" ht="18" x14ac:dyDescent="0.2">
      <c r="A183" s="17">
        <v>572</v>
      </c>
      <c r="B183" s="17" t="s">
        <v>125</v>
      </c>
      <c r="C183" s="17" t="s">
        <v>184</v>
      </c>
      <c r="D183" s="17">
        <v>139</v>
      </c>
      <c r="E183" s="17">
        <v>139</v>
      </c>
      <c r="F183" s="17">
        <v>0</v>
      </c>
      <c r="G183" s="17"/>
      <c r="H183" s="17">
        <v>4</v>
      </c>
      <c r="I183" s="17" t="str">
        <f>INDEX(Products!$C$2:$C$31,MATCH(B183,Products!$A$2:$A$31,0))</f>
        <v>Butter</v>
      </c>
      <c r="J183" s="9">
        <f t="shared" si="2"/>
        <v>12</v>
      </c>
    </row>
    <row r="184" spans="1:10" ht="18" x14ac:dyDescent="0.2">
      <c r="A184" s="17">
        <v>573</v>
      </c>
      <c r="B184" s="17" t="s">
        <v>127</v>
      </c>
      <c r="C184" s="17" t="s">
        <v>171</v>
      </c>
      <c r="D184" s="17">
        <v>109</v>
      </c>
      <c r="E184" s="17">
        <v>109</v>
      </c>
      <c r="F184" s="17">
        <v>0</v>
      </c>
      <c r="G184" s="17"/>
      <c r="H184" s="17">
        <v>1</v>
      </c>
      <c r="I184" s="17" t="str">
        <f>INDEX(Products!$C$2:$C$31,MATCH(B184,Products!$A$2:$A$31,0))</f>
        <v>Cream &amp; Creamers</v>
      </c>
      <c r="J184" s="9">
        <f t="shared" si="2"/>
        <v>0</v>
      </c>
    </row>
    <row r="185" spans="1:10" ht="18" x14ac:dyDescent="0.2">
      <c r="A185" s="17">
        <v>574</v>
      </c>
      <c r="B185" s="17" t="s">
        <v>127</v>
      </c>
      <c r="C185" s="17" t="s">
        <v>173</v>
      </c>
      <c r="D185" s="17">
        <v>107</v>
      </c>
      <c r="E185" s="17">
        <v>107</v>
      </c>
      <c r="F185" s="17">
        <v>0</v>
      </c>
      <c r="G185" s="17"/>
      <c r="H185" s="17">
        <v>5</v>
      </c>
      <c r="I185" s="17" t="str">
        <f>INDEX(Products!$C$2:$C$31,MATCH(B185,Products!$A$2:$A$31,0))</f>
        <v>Cream &amp; Creamers</v>
      </c>
      <c r="J185" s="9">
        <f t="shared" si="2"/>
        <v>1</v>
      </c>
    </row>
    <row r="186" spans="1:10" ht="18" x14ac:dyDescent="0.2">
      <c r="A186" s="17">
        <v>575</v>
      </c>
      <c r="B186" s="17" t="s">
        <v>127</v>
      </c>
      <c r="C186" s="17" t="s">
        <v>174</v>
      </c>
      <c r="D186" s="17">
        <v>106</v>
      </c>
      <c r="E186" s="17">
        <v>106</v>
      </c>
      <c r="F186" s="17">
        <v>0</v>
      </c>
      <c r="G186" s="17"/>
      <c r="H186" s="17">
        <v>2</v>
      </c>
      <c r="I186" s="17" t="str">
        <f>INDEX(Products!$C$2:$C$31,MATCH(B186,Products!$A$2:$A$31,0))</f>
        <v>Cream &amp; Creamers</v>
      </c>
      <c r="J186" s="9">
        <f t="shared" si="2"/>
        <v>2</v>
      </c>
    </row>
    <row r="187" spans="1:10" ht="18" x14ac:dyDescent="0.2">
      <c r="A187" s="17">
        <v>576</v>
      </c>
      <c r="B187" s="17" t="s">
        <v>127</v>
      </c>
      <c r="C187" s="17" t="s">
        <v>175</v>
      </c>
      <c r="D187" s="17">
        <v>117</v>
      </c>
      <c r="E187" s="17">
        <v>117</v>
      </c>
      <c r="F187" s="17">
        <v>0</v>
      </c>
      <c r="G187" s="17"/>
      <c r="H187" s="17">
        <v>5</v>
      </c>
      <c r="I187" s="17" t="str">
        <f>INDEX(Products!$C$2:$C$31,MATCH(B187,Products!$A$2:$A$31,0))</f>
        <v>Cream &amp; Creamers</v>
      </c>
      <c r="J187" s="9">
        <f t="shared" si="2"/>
        <v>3</v>
      </c>
    </row>
    <row r="188" spans="1:10" ht="18" x14ac:dyDescent="0.2">
      <c r="A188" s="17">
        <v>577</v>
      </c>
      <c r="B188" s="17" t="s">
        <v>127</v>
      </c>
      <c r="C188" s="17" t="s">
        <v>176</v>
      </c>
      <c r="D188" s="17">
        <v>132</v>
      </c>
      <c r="E188" s="17">
        <v>132</v>
      </c>
      <c r="F188" s="17">
        <v>0</v>
      </c>
      <c r="G188" s="17"/>
      <c r="H188" s="17">
        <v>5</v>
      </c>
      <c r="I188" s="17" t="str">
        <f>INDEX(Products!$C$2:$C$31,MATCH(B188,Products!$A$2:$A$31,0))</f>
        <v>Cream &amp; Creamers</v>
      </c>
      <c r="J188" s="9">
        <f t="shared" si="2"/>
        <v>4</v>
      </c>
    </row>
    <row r="189" spans="1:10" ht="18" x14ac:dyDescent="0.2">
      <c r="A189" s="17">
        <v>578</v>
      </c>
      <c r="B189" s="17" t="s">
        <v>127</v>
      </c>
      <c r="C189" s="17" t="s">
        <v>177</v>
      </c>
      <c r="D189" s="17">
        <v>129</v>
      </c>
      <c r="E189" s="17">
        <v>129</v>
      </c>
      <c r="F189" s="17">
        <v>0</v>
      </c>
      <c r="G189" s="17"/>
      <c r="H189" s="17">
        <v>3</v>
      </c>
      <c r="I189" s="17" t="str">
        <f>INDEX(Products!$C$2:$C$31,MATCH(B189,Products!$A$2:$A$31,0))</f>
        <v>Cream &amp; Creamers</v>
      </c>
      <c r="J189" s="9">
        <f t="shared" si="2"/>
        <v>5</v>
      </c>
    </row>
    <row r="190" spans="1:10" ht="18" x14ac:dyDescent="0.2">
      <c r="A190" s="17">
        <v>579</v>
      </c>
      <c r="B190" s="17" t="s">
        <v>127</v>
      </c>
      <c r="C190" s="17" t="s">
        <v>178</v>
      </c>
      <c r="D190" s="17">
        <v>123</v>
      </c>
      <c r="E190" s="17">
        <v>123</v>
      </c>
      <c r="F190" s="17">
        <v>0</v>
      </c>
      <c r="G190" s="17"/>
      <c r="H190" s="17">
        <v>4</v>
      </c>
      <c r="I190" s="17" t="str">
        <f>INDEX(Products!$C$2:$C$31,MATCH(B190,Products!$A$2:$A$31,0))</f>
        <v>Cream &amp; Creamers</v>
      </c>
      <c r="J190" s="9">
        <f t="shared" si="2"/>
        <v>6</v>
      </c>
    </row>
    <row r="191" spans="1:10" ht="18" x14ac:dyDescent="0.2">
      <c r="A191" s="17">
        <v>580</v>
      </c>
      <c r="B191" s="17" t="s">
        <v>127</v>
      </c>
      <c r="C191" s="17" t="s">
        <v>179</v>
      </c>
      <c r="D191" s="17">
        <v>125</v>
      </c>
      <c r="E191" s="17">
        <v>125</v>
      </c>
      <c r="F191" s="17">
        <v>0</v>
      </c>
      <c r="G191" s="17"/>
      <c r="H191" s="17">
        <v>5</v>
      </c>
      <c r="I191" s="17" t="str">
        <f>INDEX(Products!$C$2:$C$31,MATCH(B191,Products!$A$2:$A$31,0))</f>
        <v>Cream &amp; Creamers</v>
      </c>
      <c r="J191" s="9">
        <f t="shared" si="2"/>
        <v>7</v>
      </c>
    </row>
    <row r="192" spans="1:10" ht="18" x14ac:dyDescent="0.2">
      <c r="A192" s="17">
        <v>581</v>
      </c>
      <c r="B192" s="17" t="s">
        <v>127</v>
      </c>
      <c r="C192" s="17" t="s">
        <v>180</v>
      </c>
      <c r="D192" s="17">
        <v>135</v>
      </c>
      <c r="E192" s="17">
        <v>135</v>
      </c>
      <c r="F192" s="17">
        <v>0</v>
      </c>
      <c r="G192" s="17"/>
      <c r="H192" s="17">
        <v>2</v>
      </c>
      <c r="I192" s="17" t="str">
        <f>INDEX(Products!$C$2:$C$31,MATCH(B192,Products!$A$2:$A$31,0))</f>
        <v>Cream &amp; Creamers</v>
      </c>
      <c r="J192" s="9">
        <f t="shared" si="2"/>
        <v>8</v>
      </c>
    </row>
    <row r="193" spans="1:10" ht="18" x14ac:dyDescent="0.2">
      <c r="A193" s="17">
        <v>582</v>
      </c>
      <c r="B193" s="17" t="s">
        <v>127</v>
      </c>
      <c r="C193" s="17" t="s">
        <v>181</v>
      </c>
      <c r="D193" s="17">
        <v>135</v>
      </c>
      <c r="E193" s="17">
        <v>135</v>
      </c>
      <c r="F193" s="17">
        <v>0</v>
      </c>
      <c r="G193" s="17"/>
      <c r="H193" s="17">
        <v>4</v>
      </c>
      <c r="I193" s="17" t="str">
        <f>INDEX(Products!$C$2:$C$31,MATCH(B193,Products!$A$2:$A$31,0))</f>
        <v>Cream &amp; Creamers</v>
      </c>
      <c r="J193" s="9">
        <f t="shared" si="2"/>
        <v>9</v>
      </c>
    </row>
    <row r="194" spans="1:10" ht="18" x14ac:dyDescent="0.2">
      <c r="A194" s="17">
        <v>583</v>
      </c>
      <c r="B194" s="17" t="s">
        <v>127</v>
      </c>
      <c r="C194" s="17" t="s">
        <v>182</v>
      </c>
      <c r="D194" s="17">
        <v>135</v>
      </c>
      <c r="E194" s="17">
        <v>134</v>
      </c>
      <c r="F194" s="17">
        <v>-1</v>
      </c>
      <c r="G194" s="17" t="s">
        <v>186</v>
      </c>
      <c r="H194" s="17">
        <v>4</v>
      </c>
      <c r="I194" s="17" t="str">
        <f>INDEX(Products!$C$2:$C$31,MATCH(B194,Products!$A$2:$A$31,0))</f>
        <v>Cream &amp; Creamers</v>
      </c>
      <c r="J194" s="9">
        <f t="shared" ref="J194:J257" si="3">INT((DATEVALUE(C194)-DATE(2026,4,6))/7)</f>
        <v>10</v>
      </c>
    </row>
    <row r="195" spans="1:10" ht="18" x14ac:dyDescent="0.2">
      <c r="A195" s="17">
        <v>584</v>
      </c>
      <c r="B195" s="17" t="s">
        <v>127</v>
      </c>
      <c r="C195" s="17" t="s">
        <v>183</v>
      </c>
      <c r="D195" s="17">
        <v>143</v>
      </c>
      <c r="E195" s="17">
        <v>143</v>
      </c>
      <c r="F195" s="17">
        <v>0</v>
      </c>
      <c r="G195" s="17"/>
      <c r="H195" s="17">
        <v>4</v>
      </c>
      <c r="I195" s="17" t="str">
        <f>INDEX(Products!$C$2:$C$31,MATCH(B195,Products!$A$2:$A$31,0))</f>
        <v>Cream &amp; Creamers</v>
      </c>
      <c r="J195" s="9">
        <f t="shared" si="3"/>
        <v>11</v>
      </c>
    </row>
    <row r="196" spans="1:10" ht="18" x14ac:dyDescent="0.2">
      <c r="A196" s="17">
        <v>585</v>
      </c>
      <c r="B196" s="17" t="s">
        <v>127</v>
      </c>
      <c r="C196" s="17" t="s">
        <v>184</v>
      </c>
      <c r="D196" s="17">
        <v>157</v>
      </c>
      <c r="E196" s="17">
        <v>157</v>
      </c>
      <c r="F196" s="17">
        <v>0</v>
      </c>
      <c r="G196" s="17"/>
      <c r="H196" s="17">
        <v>5</v>
      </c>
      <c r="I196" s="17" t="str">
        <f>INDEX(Products!$C$2:$C$31,MATCH(B196,Products!$A$2:$A$31,0))</f>
        <v>Cream &amp; Creamers</v>
      </c>
      <c r="J196" s="9">
        <f t="shared" si="3"/>
        <v>12</v>
      </c>
    </row>
    <row r="197" spans="1:10" ht="18" x14ac:dyDescent="0.2">
      <c r="A197" s="17">
        <v>586</v>
      </c>
      <c r="B197" s="17" t="s">
        <v>130</v>
      </c>
      <c r="C197" s="17" t="s">
        <v>171</v>
      </c>
      <c r="D197" s="17">
        <v>145</v>
      </c>
      <c r="E197" s="17">
        <v>145</v>
      </c>
      <c r="F197" s="17">
        <v>0</v>
      </c>
      <c r="G197" s="17"/>
      <c r="H197" s="17">
        <v>5</v>
      </c>
      <c r="I197" s="17" t="str">
        <f>INDEX(Products!$C$2:$C$31,MATCH(B197,Products!$A$2:$A$31,0))</f>
        <v>Cream &amp; Creamers</v>
      </c>
      <c r="J197" s="9">
        <f t="shared" si="3"/>
        <v>0</v>
      </c>
    </row>
    <row r="198" spans="1:10" ht="18" x14ac:dyDescent="0.2">
      <c r="A198" s="17">
        <v>587</v>
      </c>
      <c r="B198" s="17" t="s">
        <v>130</v>
      </c>
      <c r="C198" s="17" t="s">
        <v>173</v>
      </c>
      <c r="D198" s="17">
        <v>148</v>
      </c>
      <c r="E198" s="17">
        <v>148</v>
      </c>
      <c r="F198" s="17">
        <v>0</v>
      </c>
      <c r="G198" s="17"/>
      <c r="H198" s="17">
        <v>1</v>
      </c>
      <c r="I198" s="17" t="str">
        <f>INDEX(Products!$C$2:$C$31,MATCH(B198,Products!$A$2:$A$31,0))</f>
        <v>Cream &amp; Creamers</v>
      </c>
      <c r="J198" s="9">
        <f t="shared" si="3"/>
        <v>1</v>
      </c>
    </row>
    <row r="199" spans="1:10" ht="18" x14ac:dyDescent="0.2">
      <c r="A199" s="17">
        <v>588</v>
      </c>
      <c r="B199" s="17" t="s">
        <v>130</v>
      </c>
      <c r="C199" s="17" t="s">
        <v>174</v>
      </c>
      <c r="D199" s="17">
        <v>153</v>
      </c>
      <c r="E199" s="17">
        <v>153</v>
      </c>
      <c r="F199" s="17">
        <v>0</v>
      </c>
      <c r="G199" s="17"/>
      <c r="H199" s="17">
        <v>4</v>
      </c>
      <c r="I199" s="17" t="str">
        <f>INDEX(Products!$C$2:$C$31,MATCH(B199,Products!$A$2:$A$31,0))</f>
        <v>Cream &amp; Creamers</v>
      </c>
      <c r="J199" s="9">
        <f t="shared" si="3"/>
        <v>2</v>
      </c>
    </row>
    <row r="200" spans="1:10" ht="18" x14ac:dyDescent="0.2">
      <c r="A200" s="17">
        <v>589</v>
      </c>
      <c r="B200" s="17" t="s">
        <v>130</v>
      </c>
      <c r="C200" s="17" t="s">
        <v>175</v>
      </c>
      <c r="D200" s="17">
        <v>143</v>
      </c>
      <c r="E200" s="17">
        <v>144</v>
      </c>
      <c r="F200" s="17">
        <v>1</v>
      </c>
      <c r="G200" s="17" t="s">
        <v>172</v>
      </c>
      <c r="H200" s="17">
        <v>4</v>
      </c>
      <c r="I200" s="17" t="str">
        <f>INDEX(Products!$C$2:$C$31,MATCH(B200,Products!$A$2:$A$31,0))</f>
        <v>Cream &amp; Creamers</v>
      </c>
      <c r="J200" s="9">
        <f t="shared" si="3"/>
        <v>3</v>
      </c>
    </row>
    <row r="201" spans="1:10" ht="18" x14ac:dyDescent="0.2">
      <c r="A201" s="17">
        <v>590</v>
      </c>
      <c r="B201" s="17" t="s">
        <v>130</v>
      </c>
      <c r="C201" s="17" t="s">
        <v>176</v>
      </c>
      <c r="D201" s="17">
        <v>138</v>
      </c>
      <c r="E201" s="17">
        <v>138</v>
      </c>
      <c r="F201" s="17">
        <v>0</v>
      </c>
      <c r="G201" s="17"/>
      <c r="H201" s="17">
        <v>4</v>
      </c>
      <c r="I201" s="17" t="str">
        <f>INDEX(Products!$C$2:$C$31,MATCH(B201,Products!$A$2:$A$31,0))</f>
        <v>Cream &amp; Creamers</v>
      </c>
      <c r="J201" s="9">
        <f t="shared" si="3"/>
        <v>4</v>
      </c>
    </row>
    <row r="202" spans="1:10" ht="18" x14ac:dyDescent="0.2">
      <c r="A202" s="17">
        <v>591</v>
      </c>
      <c r="B202" s="17" t="s">
        <v>130</v>
      </c>
      <c r="C202" s="17" t="s">
        <v>177</v>
      </c>
      <c r="D202" s="17">
        <v>131</v>
      </c>
      <c r="E202" s="17">
        <v>131</v>
      </c>
      <c r="F202" s="17">
        <v>0</v>
      </c>
      <c r="G202" s="17"/>
      <c r="H202" s="17">
        <v>4</v>
      </c>
      <c r="I202" s="17" t="str">
        <f>INDEX(Products!$C$2:$C$31,MATCH(B202,Products!$A$2:$A$31,0))</f>
        <v>Cream &amp; Creamers</v>
      </c>
      <c r="J202" s="9">
        <f t="shared" si="3"/>
        <v>5</v>
      </c>
    </row>
    <row r="203" spans="1:10" ht="18" x14ac:dyDescent="0.2">
      <c r="A203" s="17">
        <v>592</v>
      </c>
      <c r="B203" s="17" t="s">
        <v>130</v>
      </c>
      <c r="C203" s="17" t="s">
        <v>178</v>
      </c>
      <c r="D203" s="17">
        <v>124</v>
      </c>
      <c r="E203" s="17">
        <v>124</v>
      </c>
      <c r="F203" s="17">
        <v>0</v>
      </c>
      <c r="G203" s="17"/>
      <c r="H203" s="17">
        <v>4</v>
      </c>
      <c r="I203" s="17" t="str">
        <f>INDEX(Products!$C$2:$C$31,MATCH(B203,Products!$A$2:$A$31,0))</f>
        <v>Cream &amp; Creamers</v>
      </c>
      <c r="J203" s="9">
        <f t="shared" si="3"/>
        <v>6</v>
      </c>
    </row>
    <row r="204" spans="1:10" ht="18" x14ac:dyDescent="0.2">
      <c r="A204" s="17">
        <v>593</v>
      </c>
      <c r="B204" s="17" t="s">
        <v>130</v>
      </c>
      <c r="C204" s="17" t="s">
        <v>179</v>
      </c>
      <c r="D204" s="17">
        <v>109</v>
      </c>
      <c r="E204" s="17">
        <v>109</v>
      </c>
      <c r="F204" s="17">
        <v>0</v>
      </c>
      <c r="G204" s="17"/>
      <c r="H204" s="17">
        <v>1</v>
      </c>
      <c r="I204" s="17" t="str">
        <f>INDEX(Products!$C$2:$C$31,MATCH(B204,Products!$A$2:$A$31,0))</f>
        <v>Cream &amp; Creamers</v>
      </c>
      <c r="J204" s="9">
        <f t="shared" si="3"/>
        <v>7</v>
      </c>
    </row>
    <row r="205" spans="1:10" ht="18" x14ac:dyDescent="0.2">
      <c r="A205" s="17">
        <v>594</v>
      </c>
      <c r="B205" s="17" t="s">
        <v>130</v>
      </c>
      <c r="C205" s="17" t="s">
        <v>180</v>
      </c>
      <c r="D205" s="17">
        <v>124</v>
      </c>
      <c r="E205" s="17">
        <v>124</v>
      </c>
      <c r="F205" s="17">
        <v>0</v>
      </c>
      <c r="G205" s="17"/>
      <c r="H205" s="17">
        <v>1</v>
      </c>
      <c r="I205" s="17" t="str">
        <f>INDEX(Products!$C$2:$C$31,MATCH(B205,Products!$A$2:$A$31,0))</f>
        <v>Cream &amp; Creamers</v>
      </c>
      <c r="J205" s="9">
        <f t="shared" si="3"/>
        <v>8</v>
      </c>
    </row>
    <row r="206" spans="1:10" ht="18" x14ac:dyDescent="0.2">
      <c r="A206" s="17">
        <v>595</v>
      </c>
      <c r="B206" s="17" t="s">
        <v>130</v>
      </c>
      <c r="C206" s="17" t="s">
        <v>181</v>
      </c>
      <c r="D206" s="17">
        <v>133</v>
      </c>
      <c r="E206" s="17">
        <v>133</v>
      </c>
      <c r="F206" s="17">
        <v>0</v>
      </c>
      <c r="G206" s="17"/>
      <c r="H206" s="17">
        <v>1</v>
      </c>
      <c r="I206" s="17" t="str">
        <f>INDEX(Products!$C$2:$C$31,MATCH(B206,Products!$A$2:$A$31,0))</f>
        <v>Cream &amp; Creamers</v>
      </c>
      <c r="J206" s="9">
        <f t="shared" si="3"/>
        <v>9</v>
      </c>
    </row>
    <row r="207" spans="1:10" ht="18" x14ac:dyDescent="0.2">
      <c r="A207" s="17">
        <v>596</v>
      </c>
      <c r="B207" s="17" t="s">
        <v>130</v>
      </c>
      <c r="C207" s="17" t="s">
        <v>182</v>
      </c>
      <c r="D207" s="17">
        <v>142</v>
      </c>
      <c r="E207" s="17">
        <v>140</v>
      </c>
      <c r="F207" s="17">
        <v>-2</v>
      </c>
      <c r="G207" s="17" t="s">
        <v>172</v>
      </c>
      <c r="H207" s="17">
        <v>1</v>
      </c>
      <c r="I207" s="17" t="str">
        <f>INDEX(Products!$C$2:$C$31,MATCH(B207,Products!$A$2:$A$31,0))</f>
        <v>Cream &amp; Creamers</v>
      </c>
      <c r="J207" s="9">
        <f t="shared" si="3"/>
        <v>10</v>
      </c>
    </row>
    <row r="208" spans="1:10" ht="18" x14ac:dyDescent="0.2">
      <c r="A208" s="17">
        <v>597</v>
      </c>
      <c r="B208" s="17" t="s">
        <v>130</v>
      </c>
      <c r="C208" s="17" t="s">
        <v>183</v>
      </c>
      <c r="D208" s="17">
        <v>146</v>
      </c>
      <c r="E208" s="17">
        <v>146</v>
      </c>
      <c r="F208" s="17">
        <v>0</v>
      </c>
      <c r="G208" s="17"/>
      <c r="H208" s="17">
        <v>2</v>
      </c>
      <c r="I208" s="17" t="str">
        <f>INDEX(Products!$C$2:$C$31,MATCH(B208,Products!$A$2:$A$31,0))</f>
        <v>Cream &amp; Creamers</v>
      </c>
      <c r="J208" s="9">
        <f t="shared" si="3"/>
        <v>11</v>
      </c>
    </row>
    <row r="209" spans="1:10" ht="18" x14ac:dyDescent="0.2">
      <c r="A209" s="17">
        <v>598</v>
      </c>
      <c r="B209" s="17" t="s">
        <v>130</v>
      </c>
      <c r="C209" s="17" t="s">
        <v>184</v>
      </c>
      <c r="D209" s="17">
        <v>146</v>
      </c>
      <c r="E209" s="17">
        <v>146</v>
      </c>
      <c r="F209" s="17">
        <v>0</v>
      </c>
      <c r="G209" s="17"/>
      <c r="H209" s="17">
        <v>5</v>
      </c>
      <c r="I209" s="17" t="str">
        <f>INDEX(Products!$C$2:$C$31,MATCH(B209,Products!$A$2:$A$31,0))</f>
        <v>Cream &amp; Creamers</v>
      </c>
      <c r="J209" s="9">
        <f t="shared" si="3"/>
        <v>12</v>
      </c>
    </row>
    <row r="210" spans="1:10" ht="18" x14ac:dyDescent="0.2">
      <c r="A210" s="17">
        <v>599</v>
      </c>
      <c r="B210" s="17" t="s">
        <v>132</v>
      </c>
      <c r="C210" s="17" t="s">
        <v>171</v>
      </c>
      <c r="D210" s="17">
        <v>119</v>
      </c>
      <c r="E210" s="17">
        <v>119</v>
      </c>
      <c r="F210" s="17">
        <v>0</v>
      </c>
      <c r="G210" s="17"/>
      <c r="H210" s="17">
        <v>3</v>
      </c>
      <c r="I210" s="17" t="str">
        <f>INDEX(Products!$C$2:$C$31,MATCH(B210,Products!$A$2:$A$31,0))</f>
        <v>Cream &amp; Creamers</v>
      </c>
      <c r="J210" s="9">
        <f t="shared" si="3"/>
        <v>0</v>
      </c>
    </row>
    <row r="211" spans="1:10" ht="18" x14ac:dyDescent="0.2">
      <c r="A211" s="17">
        <v>600</v>
      </c>
      <c r="B211" s="17" t="s">
        <v>132</v>
      </c>
      <c r="C211" s="17" t="s">
        <v>173</v>
      </c>
      <c r="D211" s="17">
        <v>109</v>
      </c>
      <c r="E211" s="17">
        <v>109</v>
      </c>
      <c r="F211" s="17">
        <v>0</v>
      </c>
      <c r="G211" s="17"/>
      <c r="H211" s="17">
        <v>1</v>
      </c>
      <c r="I211" s="17" t="str">
        <f>INDEX(Products!$C$2:$C$31,MATCH(B211,Products!$A$2:$A$31,0))</f>
        <v>Cream &amp; Creamers</v>
      </c>
      <c r="J211" s="9">
        <f t="shared" si="3"/>
        <v>1</v>
      </c>
    </row>
    <row r="212" spans="1:10" ht="18" x14ac:dyDescent="0.2">
      <c r="A212" s="17">
        <v>601</v>
      </c>
      <c r="B212" s="17" t="s">
        <v>132</v>
      </c>
      <c r="C212" s="17" t="s">
        <v>174</v>
      </c>
      <c r="D212" s="17">
        <v>118</v>
      </c>
      <c r="E212" s="17">
        <v>118</v>
      </c>
      <c r="F212" s="17">
        <v>0</v>
      </c>
      <c r="G212" s="17"/>
      <c r="H212" s="17">
        <v>3</v>
      </c>
      <c r="I212" s="17" t="str">
        <f>INDEX(Products!$C$2:$C$31,MATCH(B212,Products!$A$2:$A$31,0))</f>
        <v>Cream &amp; Creamers</v>
      </c>
      <c r="J212" s="9">
        <f t="shared" si="3"/>
        <v>2</v>
      </c>
    </row>
    <row r="213" spans="1:10" ht="18" x14ac:dyDescent="0.2">
      <c r="A213" s="17">
        <v>602</v>
      </c>
      <c r="B213" s="17" t="s">
        <v>132</v>
      </c>
      <c r="C213" s="17" t="s">
        <v>175</v>
      </c>
      <c r="D213" s="17">
        <v>106</v>
      </c>
      <c r="E213" s="17">
        <v>106</v>
      </c>
      <c r="F213" s="17">
        <v>0</v>
      </c>
      <c r="G213" s="17"/>
      <c r="H213" s="17">
        <v>3</v>
      </c>
      <c r="I213" s="17" t="str">
        <f>INDEX(Products!$C$2:$C$31,MATCH(B213,Products!$A$2:$A$31,0))</f>
        <v>Cream &amp; Creamers</v>
      </c>
      <c r="J213" s="9">
        <f t="shared" si="3"/>
        <v>3</v>
      </c>
    </row>
    <row r="214" spans="1:10" ht="18" x14ac:dyDescent="0.2">
      <c r="A214" s="17">
        <v>603</v>
      </c>
      <c r="B214" s="17" t="s">
        <v>132</v>
      </c>
      <c r="C214" s="17" t="s">
        <v>176</v>
      </c>
      <c r="D214" s="17">
        <v>109</v>
      </c>
      <c r="E214" s="17">
        <v>109</v>
      </c>
      <c r="F214" s="17">
        <v>0</v>
      </c>
      <c r="G214" s="17"/>
      <c r="H214" s="17">
        <v>4</v>
      </c>
      <c r="I214" s="17" t="str">
        <f>INDEX(Products!$C$2:$C$31,MATCH(B214,Products!$A$2:$A$31,0))</f>
        <v>Cream &amp; Creamers</v>
      </c>
      <c r="J214" s="9">
        <f t="shared" si="3"/>
        <v>4</v>
      </c>
    </row>
    <row r="215" spans="1:10" ht="18" x14ac:dyDescent="0.2">
      <c r="A215" s="17">
        <v>604</v>
      </c>
      <c r="B215" s="17" t="s">
        <v>132</v>
      </c>
      <c r="C215" s="17" t="s">
        <v>177</v>
      </c>
      <c r="D215" s="17">
        <v>106</v>
      </c>
      <c r="E215" s="17">
        <v>106</v>
      </c>
      <c r="F215" s="17">
        <v>0</v>
      </c>
      <c r="G215" s="17"/>
      <c r="H215" s="17">
        <v>2</v>
      </c>
      <c r="I215" s="17" t="str">
        <f>INDEX(Products!$C$2:$C$31,MATCH(B215,Products!$A$2:$A$31,0))</f>
        <v>Cream &amp; Creamers</v>
      </c>
      <c r="J215" s="9">
        <f t="shared" si="3"/>
        <v>5</v>
      </c>
    </row>
    <row r="216" spans="1:10" ht="18" x14ac:dyDescent="0.2">
      <c r="A216" s="17">
        <v>605</v>
      </c>
      <c r="B216" s="17" t="s">
        <v>132</v>
      </c>
      <c r="C216" s="17" t="s">
        <v>178</v>
      </c>
      <c r="D216" s="17">
        <v>93</v>
      </c>
      <c r="E216" s="17">
        <v>93</v>
      </c>
      <c r="F216" s="17">
        <v>0</v>
      </c>
      <c r="G216" s="17"/>
      <c r="H216" s="17">
        <v>2</v>
      </c>
      <c r="I216" s="17" t="str">
        <f>INDEX(Products!$C$2:$C$31,MATCH(B216,Products!$A$2:$A$31,0))</f>
        <v>Cream &amp; Creamers</v>
      </c>
      <c r="J216" s="9">
        <f t="shared" si="3"/>
        <v>6</v>
      </c>
    </row>
    <row r="217" spans="1:10" ht="18" x14ac:dyDescent="0.2">
      <c r="A217" s="17">
        <v>606</v>
      </c>
      <c r="B217" s="17" t="s">
        <v>132</v>
      </c>
      <c r="C217" s="17" t="s">
        <v>179</v>
      </c>
      <c r="D217" s="17">
        <v>81</v>
      </c>
      <c r="E217" s="17">
        <v>81</v>
      </c>
      <c r="F217" s="17">
        <v>0</v>
      </c>
      <c r="G217" s="17"/>
      <c r="H217" s="17">
        <v>3</v>
      </c>
      <c r="I217" s="17" t="str">
        <f>INDEX(Products!$C$2:$C$31,MATCH(B217,Products!$A$2:$A$31,0))</f>
        <v>Cream &amp; Creamers</v>
      </c>
      <c r="J217" s="9">
        <f t="shared" si="3"/>
        <v>7</v>
      </c>
    </row>
    <row r="218" spans="1:10" ht="18" x14ac:dyDescent="0.2">
      <c r="A218" s="17">
        <v>607</v>
      </c>
      <c r="B218" s="17" t="s">
        <v>132</v>
      </c>
      <c r="C218" s="17" t="s">
        <v>180</v>
      </c>
      <c r="D218" s="17">
        <v>93</v>
      </c>
      <c r="E218" s="17">
        <v>93</v>
      </c>
      <c r="F218" s="17">
        <v>0</v>
      </c>
      <c r="G218" s="17"/>
      <c r="H218" s="17">
        <v>1</v>
      </c>
      <c r="I218" s="17" t="str">
        <f>INDEX(Products!$C$2:$C$31,MATCH(B218,Products!$A$2:$A$31,0))</f>
        <v>Cream &amp; Creamers</v>
      </c>
      <c r="J218" s="9">
        <f t="shared" si="3"/>
        <v>8</v>
      </c>
    </row>
    <row r="219" spans="1:10" ht="18" x14ac:dyDescent="0.2">
      <c r="A219" s="17">
        <v>608</v>
      </c>
      <c r="B219" s="17" t="s">
        <v>132</v>
      </c>
      <c r="C219" s="17" t="s">
        <v>181</v>
      </c>
      <c r="D219" s="17">
        <v>103</v>
      </c>
      <c r="E219" s="17">
        <v>103</v>
      </c>
      <c r="F219" s="17">
        <v>0</v>
      </c>
      <c r="G219" s="17"/>
      <c r="H219" s="17">
        <v>1</v>
      </c>
      <c r="I219" s="17" t="str">
        <f>INDEX(Products!$C$2:$C$31,MATCH(B219,Products!$A$2:$A$31,0))</f>
        <v>Cream &amp; Creamers</v>
      </c>
      <c r="J219" s="9">
        <f t="shared" si="3"/>
        <v>9</v>
      </c>
    </row>
    <row r="220" spans="1:10" ht="18" x14ac:dyDescent="0.2">
      <c r="A220" s="17">
        <v>609</v>
      </c>
      <c r="B220" s="17" t="s">
        <v>132</v>
      </c>
      <c r="C220" s="17" t="s">
        <v>182</v>
      </c>
      <c r="D220" s="17">
        <v>99</v>
      </c>
      <c r="E220" s="17">
        <v>99</v>
      </c>
      <c r="F220" s="17">
        <v>0</v>
      </c>
      <c r="G220" s="17"/>
      <c r="H220" s="17">
        <v>3</v>
      </c>
      <c r="I220" s="17" t="str">
        <f>INDEX(Products!$C$2:$C$31,MATCH(B220,Products!$A$2:$A$31,0))</f>
        <v>Cream &amp; Creamers</v>
      </c>
      <c r="J220" s="9">
        <f t="shared" si="3"/>
        <v>10</v>
      </c>
    </row>
    <row r="221" spans="1:10" ht="18" x14ac:dyDescent="0.2">
      <c r="A221" s="17">
        <v>610</v>
      </c>
      <c r="B221" s="17" t="s">
        <v>132</v>
      </c>
      <c r="C221" s="17" t="s">
        <v>183</v>
      </c>
      <c r="D221" s="17">
        <v>86</v>
      </c>
      <c r="E221" s="17">
        <v>86</v>
      </c>
      <c r="F221" s="17">
        <v>0</v>
      </c>
      <c r="G221" s="17"/>
      <c r="H221" s="17">
        <v>3</v>
      </c>
      <c r="I221" s="17" t="str">
        <f>INDEX(Products!$C$2:$C$31,MATCH(B221,Products!$A$2:$A$31,0))</f>
        <v>Cream &amp; Creamers</v>
      </c>
      <c r="J221" s="9">
        <f t="shared" si="3"/>
        <v>11</v>
      </c>
    </row>
    <row r="222" spans="1:10" ht="18" x14ac:dyDescent="0.2">
      <c r="A222" s="17">
        <v>611</v>
      </c>
      <c r="B222" s="17" t="s">
        <v>132</v>
      </c>
      <c r="C222" s="17" t="s">
        <v>184</v>
      </c>
      <c r="D222" s="17">
        <v>71</v>
      </c>
      <c r="E222" s="17">
        <v>71</v>
      </c>
      <c r="F222" s="17">
        <v>0</v>
      </c>
      <c r="G222" s="17"/>
      <c r="H222" s="17">
        <v>4</v>
      </c>
      <c r="I222" s="17" t="str">
        <f>INDEX(Products!$C$2:$C$31,MATCH(B222,Products!$A$2:$A$31,0))</f>
        <v>Cream &amp; Creamers</v>
      </c>
      <c r="J222" s="9">
        <f t="shared" si="3"/>
        <v>12</v>
      </c>
    </row>
    <row r="223" spans="1:10" ht="18" x14ac:dyDescent="0.2">
      <c r="A223" s="17">
        <v>612</v>
      </c>
      <c r="B223" s="17" t="s">
        <v>134</v>
      </c>
      <c r="C223" s="17" t="s">
        <v>171</v>
      </c>
      <c r="D223" s="17">
        <v>98</v>
      </c>
      <c r="E223" s="17">
        <v>98</v>
      </c>
      <c r="F223" s="17">
        <v>0</v>
      </c>
      <c r="G223" s="17"/>
      <c r="H223" s="17">
        <v>4</v>
      </c>
      <c r="I223" s="17" t="str">
        <f>INDEX(Products!$C$2:$C$31,MATCH(B223,Products!$A$2:$A$31,0))</f>
        <v>Cream &amp; Creamers</v>
      </c>
      <c r="J223" s="9">
        <f t="shared" si="3"/>
        <v>0</v>
      </c>
    </row>
    <row r="224" spans="1:10" ht="18" x14ac:dyDescent="0.2">
      <c r="A224" s="17">
        <v>613</v>
      </c>
      <c r="B224" s="17" t="s">
        <v>134</v>
      </c>
      <c r="C224" s="17" t="s">
        <v>173</v>
      </c>
      <c r="D224" s="17">
        <v>105</v>
      </c>
      <c r="E224" s="17">
        <v>103</v>
      </c>
      <c r="F224" s="17">
        <v>-2</v>
      </c>
      <c r="G224" s="17" t="s">
        <v>186</v>
      </c>
      <c r="H224" s="17">
        <v>3</v>
      </c>
      <c r="I224" s="17" t="str">
        <f>INDEX(Products!$C$2:$C$31,MATCH(B224,Products!$A$2:$A$31,0))</f>
        <v>Cream &amp; Creamers</v>
      </c>
      <c r="J224" s="9">
        <f t="shared" si="3"/>
        <v>1</v>
      </c>
    </row>
    <row r="225" spans="1:10" ht="18" x14ac:dyDescent="0.2">
      <c r="A225" s="17">
        <v>614</v>
      </c>
      <c r="B225" s="17" t="s">
        <v>134</v>
      </c>
      <c r="C225" s="17" t="s">
        <v>174</v>
      </c>
      <c r="D225" s="17">
        <v>109</v>
      </c>
      <c r="E225" s="17">
        <v>109</v>
      </c>
      <c r="F225" s="17">
        <v>0</v>
      </c>
      <c r="G225" s="17"/>
      <c r="H225" s="17">
        <v>5</v>
      </c>
      <c r="I225" s="17" t="str">
        <f>INDEX(Products!$C$2:$C$31,MATCH(B225,Products!$A$2:$A$31,0))</f>
        <v>Cream &amp; Creamers</v>
      </c>
      <c r="J225" s="9">
        <f t="shared" si="3"/>
        <v>2</v>
      </c>
    </row>
    <row r="226" spans="1:10" ht="18" x14ac:dyDescent="0.2">
      <c r="A226" s="17">
        <v>615</v>
      </c>
      <c r="B226" s="17" t="s">
        <v>134</v>
      </c>
      <c r="C226" s="17" t="s">
        <v>175</v>
      </c>
      <c r="D226" s="17">
        <v>118</v>
      </c>
      <c r="E226" s="17">
        <v>118</v>
      </c>
      <c r="F226" s="17">
        <v>0</v>
      </c>
      <c r="G226" s="17"/>
      <c r="H226" s="17">
        <v>4</v>
      </c>
      <c r="I226" s="17" t="str">
        <f>INDEX(Products!$C$2:$C$31,MATCH(B226,Products!$A$2:$A$31,0))</f>
        <v>Cream &amp; Creamers</v>
      </c>
      <c r="J226" s="9">
        <f t="shared" si="3"/>
        <v>3</v>
      </c>
    </row>
    <row r="227" spans="1:10" ht="18" x14ac:dyDescent="0.2">
      <c r="A227" s="17">
        <v>616</v>
      </c>
      <c r="B227" s="17" t="s">
        <v>134</v>
      </c>
      <c r="C227" s="17" t="s">
        <v>176</v>
      </c>
      <c r="D227" s="17">
        <v>129</v>
      </c>
      <c r="E227" s="17">
        <v>129</v>
      </c>
      <c r="F227" s="17">
        <v>0</v>
      </c>
      <c r="G227" s="17"/>
      <c r="H227" s="17">
        <v>3</v>
      </c>
      <c r="I227" s="17" t="str">
        <f>INDEX(Products!$C$2:$C$31,MATCH(B227,Products!$A$2:$A$31,0))</f>
        <v>Cream &amp; Creamers</v>
      </c>
      <c r="J227" s="9">
        <f t="shared" si="3"/>
        <v>4</v>
      </c>
    </row>
    <row r="228" spans="1:10" ht="18" x14ac:dyDescent="0.2">
      <c r="A228" s="17">
        <v>617</v>
      </c>
      <c r="B228" s="17" t="s">
        <v>134</v>
      </c>
      <c r="C228" s="17" t="s">
        <v>177</v>
      </c>
      <c r="D228" s="17">
        <v>124</v>
      </c>
      <c r="E228" s="17">
        <v>124</v>
      </c>
      <c r="F228" s="17">
        <v>0</v>
      </c>
      <c r="G228" s="17"/>
      <c r="H228" s="17">
        <v>1</v>
      </c>
      <c r="I228" s="17" t="str">
        <f>INDEX(Products!$C$2:$C$31,MATCH(B228,Products!$A$2:$A$31,0))</f>
        <v>Cream &amp; Creamers</v>
      </c>
      <c r="J228" s="9">
        <f t="shared" si="3"/>
        <v>5</v>
      </c>
    </row>
    <row r="229" spans="1:10" ht="18" x14ac:dyDescent="0.2">
      <c r="A229" s="17">
        <v>618</v>
      </c>
      <c r="B229" s="17" t="s">
        <v>134</v>
      </c>
      <c r="C229" s="17" t="s">
        <v>178</v>
      </c>
      <c r="D229" s="17">
        <v>117</v>
      </c>
      <c r="E229" s="17">
        <v>117</v>
      </c>
      <c r="F229" s="17">
        <v>0</v>
      </c>
      <c r="G229" s="17"/>
      <c r="H229" s="17">
        <v>2</v>
      </c>
      <c r="I229" s="17" t="str">
        <f>INDEX(Products!$C$2:$C$31,MATCH(B229,Products!$A$2:$A$31,0))</f>
        <v>Cream &amp; Creamers</v>
      </c>
      <c r="J229" s="9">
        <f t="shared" si="3"/>
        <v>6</v>
      </c>
    </row>
    <row r="230" spans="1:10" ht="18" x14ac:dyDescent="0.2">
      <c r="A230" s="17">
        <v>619</v>
      </c>
      <c r="B230" s="17" t="s">
        <v>134</v>
      </c>
      <c r="C230" s="17" t="s">
        <v>179</v>
      </c>
      <c r="D230" s="17">
        <v>126</v>
      </c>
      <c r="E230" s="17">
        <v>126</v>
      </c>
      <c r="F230" s="17">
        <v>0</v>
      </c>
      <c r="G230" s="17"/>
      <c r="H230" s="17">
        <v>5</v>
      </c>
      <c r="I230" s="17" t="str">
        <f>INDEX(Products!$C$2:$C$31,MATCH(B230,Products!$A$2:$A$31,0))</f>
        <v>Cream &amp; Creamers</v>
      </c>
      <c r="J230" s="9">
        <f t="shared" si="3"/>
        <v>7</v>
      </c>
    </row>
    <row r="231" spans="1:10" ht="18" x14ac:dyDescent="0.2">
      <c r="A231" s="17">
        <v>620</v>
      </c>
      <c r="B231" s="17" t="s">
        <v>134</v>
      </c>
      <c r="C231" s="17" t="s">
        <v>180</v>
      </c>
      <c r="D231" s="17">
        <v>132</v>
      </c>
      <c r="E231" s="17">
        <v>132</v>
      </c>
      <c r="F231" s="17">
        <v>0</v>
      </c>
      <c r="G231" s="17"/>
      <c r="H231" s="17">
        <v>1</v>
      </c>
      <c r="I231" s="17" t="str">
        <f>INDEX(Products!$C$2:$C$31,MATCH(B231,Products!$A$2:$A$31,0))</f>
        <v>Cream &amp; Creamers</v>
      </c>
      <c r="J231" s="9">
        <f t="shared" si="3"/>
        <v>8</v>
      </c>
    </row>
    <row r="232" spans="1:10" ht="18" x14ac:dyDescent="0.2">
      <c r="A232" s="17">
        <v>621</v>
      </c>
      <c r="B232" s="17" t="s">
        <v>134</v>
      </c>
      <c r="C232" s="17" t="s">
        <v>181</v>
      </c>
      <c r="D232" s="17">
        <v>132</v>
      </c>
      <c r="E232" s="17">
        <v>132</v>
      </c>
      <c r="F232" s="17">
        <v>0</v>
      </c>
      <c r="G232" s="17"/>
      <c r="H232" s="17">
        <v>2</v>
      </c>
      <c r="I232" s="17" t="str">
        <f>INDEX(Products!$C$2:$C$31,MATCH(B232,Products!$A$2:$A$31,0))</f>
        <v>Cream &amp; Creamers</v>
      </c>
      <c r="J232" s="9">
        <f t="shared" si="3"/>
        <v>9</v>
      </c>
    </row>
    <row r="233" spans="1:10" ht="18" x14ac:dyDescent="0.2">
      <c r="A233" s="17">
        <v>622</v>
      </c>
      <c r="B233" s="17" t="s">
        <v>134</v>
      </c>
      <c r="C233" s="17" t="s">
        <v>182</v>
      </c>
      <c r="D233" s="17">
        <v>132</v>
      </c>
      <c r="E233" s="17">
        <v>131</v>
      </c>
      <c r="F233" s="17">
        <v>-1</v>
      </c>
      <c r="G233" s="17" t="s">
        <v>172</v>
      </c>
      <c r="H233" s="17">
        <v>5</v>
      </c>
      <c r="I233" s="17" t="str">
        <f>INDEX(Products!$C$2:$C$31,MATCH(B233,Products!$A$2:$A$31,0))</f>
        <v>Cream &amp; Creamers</v>
      </c>
      <c r="J233" s="9">
        <f t="shared" si="3"/>
        <v>10</v>
      </c>
    </row>
    <row r="234" spans="1:10" ht="18" x14ac:dyDescent="0.2">
      <c r="A234" s="17">
        <v>623</v>
      </c>
      <c r="B234" s="17" t="s">
        <v>134</v>
      </c>
      <c r="C234" s="17" t="s">
        <v>183</v>
      </c>
      <c r="D234" s="17">
        <v>139</v>
      </c>
      <c r="E234" s="17">
        <v>139</v>
      </c>
      <c r="F234" s="17">
        <v>0</v>
      </c>
      <c r="G234" s="17"/>
      <c r="H234" s="17">
        <v>5</v>
      </c>
      <c r="I234" s="17" t="str">
        <f>INDEX(Products!$C$2:$C$31,MATCH(B234,Products!$A$2:$A$31,0))</f>
        <v>Cream &amp; Creamers</v>
      </c>
      <c r="J234" s="9">
        <f t="shared" si="3"/>
        <v>11</v>
      </c>
    </row>
    <row r="235" spans="1:10" ht="18" x14ac:dyDescent="0.2">
      <c r="A235" s="17">
        <v>624</v>
      </c>
      <c r="B235" s="17" t="s">
        <v>134</v>
      </c>
      <c r="C235" s="17" t="s">
        <v>184</v>
      </c>
      <c r="D235" s="17">
        <v>124</v>
      </c>
      <c r="E235" s="17">
        <v>124</v>
      </c>
      <c r="F235" s="17">
        <v>0</v>
      </c>
      <c r="G235" s="17"/>
      <c r="H235" s="17">
        <v>2</v>
      </c>
      <c r="I235" s="17" t="str">
        <f>INDEX(Products!$C$2:$C$31,MATCH(B235,Products!$A$2:$A$31,0))</f>
        <v>Cream &amp; Creamers</v>
      </c>
      <c r="J235" s="9">
        <f t="shared" si="3"/>
        <v>12</v>
      </c>
    </row>
    <row r="236" spans="1:10" ht="18" x14ac:dyDescent="0.2">
      <c r="A236" s="17">
        <v>625</v>
      </c>
      <c r="B236" s="17" t="s">
        <v>136</v>
      </c>
      <c r="C236" s="17" t="s">
        <v>171</v>
      </c>
      <c r="D236" s="17">
        <v>292</v>
      </c>
      <c r="E236" s="17">
        <v>292</v>
      </c>
      <c r="F236" s="17">
        <v>0</v>
      </c>
      <c r="G236" s="17"/>
      <c r="H236" s="17">
        <v>4</v>
      </c>
      <c r="I236" s="17" t="str">
        <f>INDEX(Products!$C$2:$C$31,MATCH(B236,Products!$A$2:$A$31,0))</f>
        <v>Packaging &amp; Supplies</v>
      </c>
      <c r="J236" s="9">
        <f t="shared" si="3"/>
        <v>0</v>
      </c>
    </row>
    <row r="237" spans="1:10" ht="18" x14ac:dyDescent="0.2">
      <c r="A237" s="17">
        <v>626</v>
      </c>
      <c r="B237" s="17" t="s">
        <v>136</v>
      </c>
      <c r="C237" s="17" t="s">
        <v>173</v>
      </c>
      <c r="D237" s="17">
        <v>294</v>
      </c>
      <c r="E237" s="17">
        <v>294</v>
      </c>
      <c r="F237" s="17">
        <v>0</v>
      </c>
      <c r="G237" s="17"/>
      <c r="H237" s="17">
        <v>4</v>
      </c>
      <c r="I237" s="17" t="str">
        <f>INDEX(Products!$C$2:$C$31,MATCH(B237,Products!$A$2:$A$31,0))</f>
        <v>Packaging &amp; Supplies</v>
      </c>
      <c r="J237" s="9">
        <f t="shared" si="3"/>
        <v>1</v>
      </c>
    </row>
    <row r="238" spans="1:10" ht="18" x14ac:dyDescent="0.2">
      <c r="A238" s="17">
        <v>627</v>
      </c>
      <c r="B238" s="17" t="s">
        <v>136</v>
      </c>
      <c r="C238" s="17" t="s">
        <v>174</v>
      </c>
      <c r="D238" s="17">
        <v>299</v>
      </c>
      <c r="E238" s="17">
        <v>299</v>
      </c>
      <c r="F238" s="17">
        <v>0</v>
      </c>
      <c r="G238" s="17"/>
      <c r="H238" s="17">
        <v>4</v>
      </c>
      <c r="I238" s="17" t="str">
        <f>INDEX(Products!$C$2:$C$31,MATCH(B238,Products!$A$2:$A$31,0))</f>
        <v>Packaging &amp; Supplies</v>
      </c>
      <c r="J238" s="9">
        <f t="shared" si="3"/>
        <v>2</v>
      </c>
    </row>
    <row r="239" spans="1:10" ht="18" x14ac:dyDescent="0.2">
      <c r="A239" s="17">
        <v>628</v>
      </c>
      <c r="B239" s="17" t="s">
        <v>136</v>
      </c>
      <c r="C239" s="17" t="s">
        <v>175</v>
      </c>
      <c r="D239" s="17">
        <v>309</v>
      </c>
      <c r="E239" s="17">
        <v>308</v>
      </c>
      <c r="F239" s="17">
        <v>-1</v>
      </c>
      <c r="G239" s="17" t="s">
        <v>172</v>
      </c>
      <c r="H239" s="17">
        <v>2</v>
      </c>
      <c r="I239" s="17" t="str">
        <f>INDEX(Products!$C$2:$C$31,MATCH(B239,Products!$A$2:$A$31,0))</f>
        <v>Packaging &amp; Supplies</v>
      </c>
      <c r="J239" s="9">
        <f t="shared" si="3"/>
        <v>3</v>
      </c>
    </row>
    <row r="240" spans="1:10" ht="18" x14ac:dyDescent="0.2">
      <c r="A240" s="17">
        <v>629</v>
      </c>
      <c r="B240" s="17" t="s">
        <v>136</v>
      </c>
      <c r="C240" s="17" t="s">
        <v>176</v>
      </c>
      <c r="D240" s="17">
        <v>303</v>
      </c>
      <c r="E240" s="17">
        <v>303</v>
      </c>
      <c r="F240" s="17">
        <v>0</v>
      </c>
      <c r="G240" s="17"/>
      <c r="H240" s="17">
        <v>3</v>
      </c>
      <c r="I240" s="17" t="str">
        <f>INDEX(Products!$C$2:$C$31,MATCH(B240,Products!$A$2:$A$31,0))</f>
        <v>Packaging &amp; Supplies</v>
      </c>
      <c r="J240" s="9">
        <f t="shared" si="3"/>
        <v>4</v>
      </c>
    </row>
    <row r="241" spans="1:10" ht="18" x14ac:dyDescent="0.2">
      <c r="A241" s="17">
        <v>630</v>
      </c>
      <c r="B241" s="17" t="s">
        <v>136</v>
      </c>
      <c r="C241" s="17" t="s">
        <v>177</v>
      </c>
      <c r="D241" s="17">
        <v>303</v>
      </c>
      <c r="E241" s="17">
        <v>303</v>
      </c>
      <c r="F241" s="17">
        <v>0</v>
      </c>
      <c r="G241" s="17"/>
      <c r="H241" s="17">
        <v>3</v>
      </c>
      <c r="I241" s="17" t="str">
        <f>INDEX(Products!$C$2:$C$31,MATCH(B241,Products!$A$2:$A$31,0))</f>
        <v>Packaging &amp; Supplies</v>
      </c>
      <c r="J241" s="9">
        <f t="shared" si="3"/>
        <v>5</v>
      </c>
    </row>
    <row r="242" spans="1:10" ht="18" x14ac:dyDescent="0.2">
      <c r="A242" s="17">
        <v>631</v>
      </c>
      <c r="B242" s="17" t="s">
        <v>136</v>
      </c>
      <c r="C242" s="17" t="s">
        <v>178</v>
      </c>
      <c r="D242" s="17">
        <v>301</v>
      </c>
      <c r="E242" s="17">
        <v>301</v>
      </c>
      <c r="F242" s="17">
        <v>0</v>
      </c>
      <c r="G242" s="17"/>
      <c r="H242" s="17">
        <v>5</v>
      </c>
      <c r="I242" s="17" t="str">
        <f>INDEX(Products!$C$2:$C$31,MATCH(B242,Products!$A$2:$A$31,0))</f>
        <v>Packaging &amp; Supplies</v>
      </c>
      <c r="J242" s="9">
        <f t="shared" si="3"/>
        <v>6</v>
      </c>
    </row>
    <row r="243" spans="1:10" ht="18" x14ac:dyDescent="0.2">
      <c r="A243" s="17">
        <v>632</v>
      </c>
      <c r="B243" s="17" t="s">
        <v>136</v>
      </c>
      <c r="C243" s="17" t="s">
        <v>179</v>
      </c>
      <c r="D243" s="17">
        <v>296</v>
      </c>
      <c r="E243" s="17">
        <v>296</v>
      </c>
      <c r="F243" s="17">
        <v>0</v>
      </c>
      <c r="G243" s="17"/>
      <c r="H243" s="17">
        <v>4</v>
      </c>
      <c r="I243" s="17" t="str">
        <f>INDEX(Products!$C$2:$C$31,MATCH(B243,Products!$A$2:$A$31,0))</f>
        <v>Packaging &amp; Supplies</v>
      </c>
      <c r="J243" s="9">
        <f t="shared" si="3"/>
        <v>7</v>
      </c>
    </row>
    <row r="244" spans="1:10" ht="18" x14ac:dyDescent="0.2">
      <c r="A244" s="17">
        <v>633</v>
      </c>
      <c r="B244" s="17" t="s">
        <v>136</v>
      </c>
      <c r="C244" s="17" t="s">
        <v>180</v>
      </c>
      <c r="D244" s="17">
        <v>289</v>
      </c>
      <c r="E244" s="17">
        <v>289</v>
      </c>
      <c r="F244" s="17">
        <v>0</v>
      </c>
      <c r="G244" s="17"/>
      <c r="H244" s="17">
        <v>2</v>
      </c>
      <c r="I244" s="17" t="str">
        <f>INDEX(Products!$C$2:$C$31,MATCH(B244,Products!$A$2:$A$31,0))</f>
        <v>Packaging &amp; Supplies</v>
      </c>
      <c r="J244" s="9">
        <f t="shared" si="3"/>
        <v>8</v>
      </c>
    </row>
    <row r="245" spans="1:10" ht="18" x14ac:dyDescent="0.2">
      <c r="A245" s="17">
        <v>634</v>
      </c>
      <c r="B245" s="17" t="s">
        <v>136</v>
      </c>
      <c r="C245" s="17" t="s">
        <v>181</v>
      </c>
      <c r="D245" s="17">
        <v>277</v>
      </c>
      <c r="E245" s="17">
        <v>277</v>
      </c>
      <c r="F245" s="17">
        <v>0</v>
      </c>
      <c r="G245" s="17"/>
      <c r="H245" s="17">
        <v>3</v>
      </c>
      <c r="I245" s="17" t="str">
        <f>INDEX(Products!$C$2:$C$31,MATCH(B245,Products!$A$2:$A$31,0))</f>
        <v>Packaging &amp; Supplies</v>
      </c>
      <c r="J245" s="9">
        <f t="shared" si="3"/>
        <v>9</v>
      </c>
    </row>
    <row r="246" spans="1:10" ht="18" x14ac:dyDescent="0.2">
      <c r="A246" s="17">
        <v>635</v>
      </c>
      <c r="B246" s="17" t="s">
        <v>136</v>
      </c>
      <c r="C246" s="17" t="s">
        <v>182</v>
      </c>
      <c r="D246" s="17">
        <v>265</v>
      </c>
      <c r="E246" s="17">
        <v>265</v>
      </c>
      <c r="F246" s="17">
        <v>0</v>
      </c>
      <c r="G246" s="17"/>
      <c r="H246" s="17">
        <v>2</v>
      </c>
      <c r="I246" s="17" t="str">
        <f>INDEX(Products!$C$2:$C$31,MATCH(B246,Products!$A$2:$A$31,0))</f>
        <v>Packaging &amp; Supplies</v>
      </c>
      <c r="J246" s="9">
        <f t="shared" si="3"/>
        <v>10</v>
      </c>
    </row>
    <row r="247" spans="1:10" ht="18" x14ac:dyDescent="0.2">
      <c r="A247" s="17">
        <v>636</v>
      </c>
      <c r="B247" s="17" t="s">
        <v>136</v>
      </c>
      <c r="C247" s="17" t="s">
        <v>183</v>
      </c>
      <c r="D247" s="17">
        <v>256</v>
      </c>
      <c r="E247" s="17">
        <v>257</v>
      </c>
      <c r="F247" s="17">
        <v>1</v>
      </c>
      <c r="G247" s="17" t="s">
        <v>172</v>
      </c>
      <c r="H247" s="17">
        <v>5</v>
      </c>
      <c r="I247" s="17" t="str">
        <f>INDEX(Products!$C$2:$C$31,MATCH(B247,Products!$A$2:$A$31,0))</f>
        <v>Packaging &amp; Supplies</v>
      </c>
      <c r="J247" s="9">
        <f t="shared" si="3"/>
        <v>11</v>
      </c>
    </row>
    <row r="248" spans="1:10" ht="18" x14ac:dyDescent="0.2">
      <c r="A248" s="17">
        <v>637</v>
      </c>
      <c r="B248" s="17" t="s">
        <v>136</v>
      </c>
      <c r="C248" s="17" t="s">
        <v>184</v>
      </c>
      <c r="D248" s="17">
        <v>265</v>
      </c>
      <c r="E248" s="17">
        <v>265</v>
      </c>
      <c r="F248" s="17">
        <v>0</v>
      </c>
      <c r="G248" s="17"/>
      <c r="H248" s="17">
        <v>3</v>
      </c>
      <c r="I248" s="17" t="str">
        <f>INDEX(Products!$C$2:$C$31,MATCH(B248,Products!$A$2:$A$31,0))</f>
        <v>Packaging &amp; Supplies</v>
      </c>
      <c r="J248" s="9">
        <f t="shared" si="3"/>
        <v>12</v>
      </c>
    </row>
    <row r="249" spans="1:10" ht="18" x14ac:dyDescent="0.2">
      <c r="A249" s="17">
        <v>638</v>
      </c>
      <c r="B249" s="17" t="s">
        <v>139</v>
      </c>
      <c r="C249" s="17" t="s">
        <v>171</v>
      </c>
      <c r="D249" s="17">
        <v>131</v>
      </c>
      <c r="E249" s="17">
        <v>131</v>
      </c>
      <c r="F249" s="17">
        <v>0</v>
      </c>
      <c r="G249" s="17"/>
      <c r="H249" s="17">
        <v>2</v>
      </c>
      <c r="I249" s="17" t="str">
        <f>INDEX(Products!$C$2:$C$31,MATCH(B249,Products!$A$2:$A$31,0))</f>
        <v>Packaging &amp; Supplies</v>
      </c>
      <c r="J249" s="9">
        <f t="shared" si="3"/>
        <v>0</v>
      </c>
    </row>
    <row r="250" spans="1:10" ht="18" x14ac:dyDescent="0.2">
      <c r="A250" s="17">
        <v>639</v>
      </c>
      <c r="B250" s="17" t="s">
        <v>139</v>
      </c>
      <c r="C250" s="17" t="s">
        <v>173</v>
      </c>
      <c r="D250" s="17">
        <v>127</v>
      </c>
      <c r="E250" s="17">
        <v>127</v>
      </c>
      <c r="F250" s="17">
        <v>0</v>
      </c>
      <c r="G250" s="17"/>
      <c r="H250" s="17">
        <v>1</v>
      </c>
      <c r="I250" s="17" t="str">
        <f>INDEX(Products!$C$2:$C$31,MATCH(B250,Products!$A$2:$A$31,0))</f>
        <v>Packaging &amp; Supplies</v>
      </c>
      <c r="J250" s="9">
        <f t="shared" si="3"/>
        <v>1</v>
      </c>
    </row>
    <row r="251" spans="1:10" ht="18" x14ac:dyDescent="0.2">
      <c r="A251" s="17">
        <v>640</v>
      </c>
      <c r="B251" s="17" t="s">
        <v>139</v>
      </c>
      <c r="C251" s="17" t="s">
        <v>174</v>
      </c>
      <c r="D251" s="17">
        <v>134</v>
      </c>
      <c r="E251" s="17">
        <v>134</v>
      </c>
      <c r="F251" s="17">
        <v>0</v>
      </c>
      <c r="G251" s="17"/>
      <c r="H251" s="17">
        <v>3</v>
      </c>
      <c r="I251" s="17" t="str">
        <f>INDEX(Products!$C$2:$C$31,MATCH(B251,Products!$A$2:$A$31,0))</f>
        <v>Packaging &amp; Supplies</v>
      </c>
      <c r="J251" s="9">
        <f t="shared" si="3"/>
        <v>2</v>
      </c>
    </row>
    <row r="252" spans="1:10" ht="18" x14ac:dyDescent="0.2">
      <c r="A252" s="17">
        <v>641</v>
      </c>
      <c r="B252" s="17" t="s">
        <v>139</v>
      </c>
      <c r="C252" s="17" t="s">
        <v>175</v>
      </c>
      <c r="D252" s="17">
        <v>120</v>
      </c>
      <c r="E252" s="17">
        <v>120</v>
      </c>
      <c r="F252" s="17">
        <v>0</v>
      </c>
      <c r="G252" s="17"/>
      <c r="H252" s="17">
        <v>5</v>
      </c>
      <c r="I252" s="17" t="str">
        <f>INDEX(Products!$C$2:$C$31,MATCH(B252,Products!$A$2:$A$31,0))</f>
        <v>Packaging &amp; Supplies</v>
      </c>
      <c r="J252" s="9">
        <f t="shared" si="3"/>
        <v>3</v>
      </c>
    </row>
    <row r="253" spans="1:10" ht="18" x14ac:dyDescent="0.2">
      <c r="A253" s="17">
        <v>642</v>
      </c>
      <c r="B253" s="17" t="s">
        <v>139</v>
      </c>
      <c r="C253" s="17" t="s">
        <v>176</v>
      </c>
      <c r="D253" s="17">
        <v>114</v>
      </c>
      <c r="E253" s="17">
        <v>114</v>
      </c>
      <c r="F253" s="17">
        <v>0</v>
      </c>
      <c r="G253" s="17"/>
      <c r="H253" s="17">
        <v>2</v>
      </c>
      <c r="I253" s="17" t="str">
        <f>INDEX(Products!$C$2:$C$31,MATCH(B253,Products!$A$2:$A$31,0))</f>
        <v>Packaging &amp; Supplies</v>
      </c>
      <c r="J253" s="9">
        <f t="shared" si="3"/>
        <v>4</v>
      </c>
    </row>
    <row r="254" spans="1:10" ht="18" x14ac:dyDescent="0.2">
      <c r="A254" s="17">
        <v>643</v>
      </c>
      <c r="B254" s="17" t="s">
        <v>139</v>
      </c>
      <c r="C254" s="17" t="s">
        <v>177</v>
      </c>
      <c r="D254" s="17">
        <v>119</v>
      </c>
      <c r="E254" s="17">
        <v>119</v>
      </c>
      <c r="F254" s="17">
        <v>0</v>
      </c>
      <c r="G254" s="17"/>
      <c r="H254" s="17">
        <v>4</v>
      </c>
      <c r="I254" s="17" t="str">
        <f>INDEX(Products!$C$2:$C$31,MATCH(B254,Products!$A$2:$A$31,0))</f>
        <v>Packaging &amp; Supplies</v>
      </c>
      <c r="J254" s="9">
        <f t="shared" si="3"/>
        <v>5</v>
      </c>
    </row>
    <row r="255" spans="1:10" ht="18" x14ac:dyDescent="0.2">
      <c r="A255" s="17">
        <v>644</v>
      </c>
      <c r="B255" s="17" t="s">
        <v>139</v>
      </c>
      <c r="C255" s="17" t="s">
        <v>178</v>
      </c>
      <c r="D255" s="17">
        <v>107</v>
      </c>
      <c r="E255" s="17">
        <v>107</v>
      </c>
      <c r="F255" s="17">
        <v>0</v>
      </c>
      <c r="G255" s="17"/>
      <c r="H255" s="17">
        <v>5</v>
      </c>
      <c r="I255" s="17" t="str">
        <f>INDEX(Products!$C$2:$C$31,MATCH(B255,Products!$A$2:$A$31,0))</f>
        <v>Packaging &amp; Supplies</v>
      </c>
      <c r="J255" s="9">
        <f t="shared" si="3"/>
        <v>6</v>
      </c>
    </row>
    <row r="256" spans="1:10" ht="18" x14ac:dyDescent="0.2">
      <c r="A256" s="17">
        <v>645</v>
      </c>
      <c r="B256" s="17" t="s">
        <v>139</v>
      </c>
      <c r="C256" s="17" t="s">
        <v>179</v>
      </c>
      <c r="D256" s="17">
        <v>101</v>
      </c>
      <c r="E256" s="17">
        <v>101</v>
      </c>
      <c r="F256" s="17">
        <v>0</v>
      </c>
      <c r="G256" s="17"/>
      <c r="H256" s="17">
        <v>4</v>
      </c>
      <c r="I256" s="17" t="str">
        <f>INDEX(Products!$C$2:$C$31,MATCH(B256,Products!$A$2:$A$31,0))</f>
        <v>Packaging &amp; Supplies</v>
      </c>
      <c r="J256" s="9">
        <f t="shared" si="3"/>
        <v>7</v>
      </c>
    </row>
    <row r="257" spans="1:10" ht="18" x14ac:dyDescent="0.2">
      <c r="A257" s="17">
        <v>646</v>
      </c>
      <c r="B257" s="17" t="s">
        <v>139</v>
      </c>
      <c r="C257" s="17" t="s">
        <v>180</v>
      </c>
      <c r="D257" s="17">
        <v>96</v>
      </c>
      <c r="E257" s="17">
        <v>96</v>
      </c>
      <c r="F257" s="17">
        <v>0</v>
      </c>
      <c r="G257" s="17"/>
      <c r="H257" s="17">
        <v>1</v>
      </c>
      <c r="I257" s="17" t="str">
        <f>INDEX(Products!$C$2:$C$31,MATCH(B257,Products!$A$2:$A$31,0))</f>
        <v>Packaging &amp; Supplies</v>
      </c>
      <c r="J257" s="9">
        <f t="shared" si="3"/>
        <v>8</v>
      </c>
    </row>
    <row r="258" spans="1:10" ht="18" x14ac:dyDescent="0.2">
      <c r="A258" s="17">
        <v>647</v>
      </c>
      <c r="B258" s="17" t="s">
        <v>139</v>
      </c>
      <c r="C258" s="17" t="s">
        <v>181</v>
      </c>
      <c r="D258" s="17">
        <v>89</v>
      </c>
      <c r="E258" s="17">
        <v>89</v>
      </c>
      <c r="F258" s="17">
        <v>0</v>
      </c>
      <c r="G258" s="17"/>
      <c r="H258" s="17">
        <v>4</v>
      </c>
      <c r="I258" s="17" t="str">
        <f>INDEX(Products!$C$2:$C$31,MATCH(B258,Products!$A$2:$A$31,0))</f>
        <v>Packaging &amp; Supplies</v>
      </c>
      <c r="J258" s="9">
        <f t="shared" ref="J258:J321" si="4">INT((DATEVALUE(C258)-DATE(2026,4,6))/7)</f>
        <v>9</v>
      </c>
    </row>
    <row r="259" spans="1:10" ht="18" x14ac:dyDescent="0.2">
      <c r="A259" s="17">
        <v>648</v>
      </c>
      <c r="B259" s="17" t="s">
        <v>139</v>
      </c>
      <c r="C259" s="17" t="s">
        <v>182</v>
      </c>
      <c r="D259" s="17">
        <v>77</v>
      </c>
      <c r="E259" s="17">
        <v>77</v>
      </c>
      <c r="F259" s="17">
        <v>0</v>
      </c>
      <c r="G259" s="17"/>
      <c r="H259" s="17">
        <v>4</v>
      </c>
      <c r="I259" s="17" t="str">
        <f>INDEX(Products!$C$2:$C$31,MATCH(B259,Products!$A$2:$A$31,0))</f>
        <v>Packaging &amp; Supplies</v>
      </c>
      <c r="J259" s="9">
        <f t="shared" si="4"/>
        <v>10</v>
      </c>
    </row>
    <row r="260" spans="1:10" ht="18" x14ac:dyDescent="0.2">
      <c r="A260" s="17">
        <v>649</v>
      </c>
      <c r="B260" s="17" t="s">
        <v>139</v>
      </c>
      <c r="C260" s="17" t="s">
        <v>183</v>
      </c>
      <c r="D260" s="17">
        <v>77</v>
      </c>
      <c r="E260" s="17">
        <v>74</v>
      </c>
      <c r="F260" s="17">
        <v>-3</v>
      </c>
      <c r="G260" s="17" t="s">
        <v>172</v>
      </c>
      <c r="H260" s="17">
        <v>5</v>
      </c>
      <c r="I260" s="17" t="str">
        <f>INDEX(Products!$C$2:$C$31,MATCH(B260,Products!$A$2:$A$31,0))</f>
        <v>Packaging &amp; Supplies</v>
      </c>
      <c r="J260" s="9">
        <f t="shared" si="4"/>
        <v>11</v>
      </c>
    </row>
    <row r="261" spans="1:10" ht="18" x14ac:dyDescent="0.2">
      <c r="A261" s="17">
        <v>650</v>
      </c>
      <c r="B261" s="17" t="s">
        <v>139</v>
      </c>
      <c r="C261" s="17" t="s">
        <v>184</v>
      </c>
      <c r="D261" s="17">
        <v>92</v>
      </c>
      <c r="E261" s="17">
        <v>92</v>
      </c>
      <c r="F261" s="17">
        <v>0</v>
      </c>
      <c r="G261" s="17"/>
      <c r="H261" s="17">
        <v>2</v>
      </c>
      <c r="I261" s="17" t="str">
        <f>INDEX(Products!$C$2:$C$31,MATCH(B261,Products!$A$2:$A$31,0))</f>
        <v>Packaging &amp; Supplies</v>
      </c>
      <c r="J261" s="9">
        <f t="shared" si="4"/>
        <v>12</v>
      </c>
    </row>
    <row r="262" spans="1:10" ht="18" x14ac:dyDescent="0.2">
      <c r="A262" s="17">
        <v>651</v>
      </c>
      <c r="B262" s="17" t="s">
        <v>141</v>
      </c>
      <c r="C262" s="17" t="s">
        <v>171</v>
      </c>
      <c r="D262" s="17">
        <v>82</v>
      </c>
      <c r="E262" s="17">
        <v>82</v>
      </c>
      <c r="F262" s="17">
        <v>0</v>
      </c>
      <c r="G262" s="17"/>
      <c r="H262" s="17">
        <v>5</v>
      </c>
      <c r="I262" s="17" t="str">
        <f>INDEX(Products!$C$2:$C$31,MATCH(B262,Products!$A$2:$A$31,0))</f>
        <v>Packaging &amp; Supplies</v>
      </c>
      <c r="J262" s="9">
        <f t="shared" si="4"/>
        <v>0</v>
      </c>
    </row>
    <row r="263" spans="1:10" ht="18" x14ac:dyDescent="0.2">
      <c r="A263" s="17">
        <v>652</v>
      </c>
      <c r="B263" s="17" t="s">
        <v>141</v>
      </c>
      <c r="C263" s="17" t="s">
        <v>173</v>
      </c>
      <c r="D263" s="17">
        <v>86</v>
      </c>
      <c r="E263" s="17">
        <v>86</v>
      </c>
      <c r="F263" s="17">
        <v>0</v>
      </c>
      <c r="G263" s="17"/>
      <c r="H263" s="17">
        <v>2</v>
      </c>
      <c r="I263" s="17" t="str">
        <f>INDEX(Products!$C$2:$C$31,MATCH(B263,Products!$A$2:$A$31,0))</f>
        <v>Packaging &amp; Supplies</v>
      </c>
      <c r="J263" s="9">
        <f t="shared" si="4"/>
        <v>1</v>
      </c>
    </row>
    <row r="264" spans="1:10" ht="18" x14ac:dyDescent="0.2">
      <c r="A264" s="17">
        <v>653</v>
      </c>
      <c r="B264" s="17" t="s">
        <v>141</v>
      </c>
      <c r="C264" s="17" t="s">
        <v>174</v>
      </c>
      <c r="D264" s="17">
        <v>95</v>
      </c>
      <c r="E264" s="17">
        <v>95</v>
      </c>
      <c r="F264" s="17">
        <v>0</v>
      </c>
      <c r="G264" s="17"/>
      <c r="H264" s="17">
        <v>4</v>
      </c>
      <c r="I264" s="17" t="str">
        <f>INDEX(Products!$C$2:$C$31,MATCH(B264,Products!$A$2:$A$31,0))</f>
        <v>Packaging &amp; Supplies</v>
      </c>
      <c r="J264" s="9">
        <f t="shared" si="4"/>
        <v>2</v>
      </c>
    </row>
    <row r="265" spans="1:10" ht="18" x14ac:dyDescent="0.2">
      <c r="A265" s="17">
        <v>654</v>
      </c>
      <c r="B265" s="17" t="s">
        <v>141</v>
      </c>
      <c r="C265" s="17" t="s">
        <v>175</v>
      </c>
      <c r="D265" s="17">
        <v>109</v>
      </c>
      <c r="E265" s="17">
        <v>109</v>
      </c>
      <c r="F265" s="17">
        <v>0</v>
      </c>
      <c r="G265" s="17"/>
      <c r="H265" s="17">
        <v>5</v>
      </c>
      <c r="I265" s="17" t="str">
        <f>INDEX(Products!$C$2:$C$31,MATCH(B265,Products!$A$2:$A$31,0))</f>
        <v>Packaging &amp; Supplies</v>
      </c>
      <c r="J265" s="9">
        <f t="shared" si="4"/>
        <v>3</v>
      </c>
    </row>
    <row r="266" spans="1:10" ht="18" x14ac:dyDescent="0.2">
      <c r="A266" s="17">
        <v>655</v>
      </c>
      <c r="B266" s="17" t="s">
        <v>141</v>
      </c>
      <c r="C266" s="17" t="s">
        <v>176</v>
      </c>
      <c r="D266" s="17">
        <v>107</v>
      </c>
      <c r="E266" s="17">
        <v>107</v>
      </c>
      <c r="F266" s="17">
        <v>0</v>
      </c>
      <c r="G266" s="17"/>
      <c r="H266" s="17">
        <v>5</v>
      </c>
      <c r="I266" s="17" t="str">
        <f>INDEX(Products!$C$2:$C$31,MATCH(B266,Products!$A$2:$A$31,0))</f>
        <v>Packaging &amp; Supplies</v>
      </c>
      <c r="J266" s="9">
        <f t="shared" si="4"/>
        <v>4</v>
      </c>
    </row>
    <row r="267" spans="1:10" ht="18" x14ac:dyDescent="0.2">
      <c r="A267" s="17">
        <v>656</v>
      </c>
      <c r="B267" s="17" t="s">
        <v>141</v>
      </c>
      <c r="C267" s="17" t="s">
        <v>177</v>
      </c>
      <c r="D267" s="17">
        <v>93</v>
      </c>
      <c r="E267" s="17">
        <v>93</v>
      </c>
      <c r="F267" s="17">
        <v>0</v>
      </c>
      <c r="G267" s="17"/>
      <c r="H267" s="17">
        <v>1</v>
      </c>
      <c r="I267" s="17" t="str">
        <f>INDEX(Products!$C$2:$C$31,MATCH(B267,Products!$A$2:$A$31,0))</f>
        <v>Packaging &amp; Supplies</v>
      </c>
      <c r="J267" s="9">
        <f t="shared" si="4"/>
        <v>5</v>
      </c>
    </row>
    <row r="268" spans="1:10" ht="18" x14ac:dyDescent="0.2">
      <c r="A268" s="17">
        <v>657</v>
      </c>
      <c r="B268" s="17" t="s">
        <v>141</v>
      </c>
      <c r="C268" s="17" t="s">
        <v>178</v>
      </c>
      <c r="D268" s="17">
        <v>108</v>
      </c>
      <c r="E268" s="17">
        <v>108</v>
      </c>
      <c r="F268" s="17">
        <v>0</v>
      </c>
      <c r="G268" s="17"/>
      <c r="H268" s="17">
        <v>2</v>
      </c>
      <c r="I268" s="17" t="str">
        <f>INDEX(Products!$C$2:$C$31,MATCH(B268,Products!$A$2:$A$31,0))</f>
        <v>Packaging &amp; Supplies</v>
      </c>
      <c r="J268" s="9">
        <f t="shared" si="4"/>
        <v>6</v>
      </c>
    </row>
    <row r="269" spans="1:10" ht="18" x14ac:dyDescent="0.2">
      <c r="A269" s="17">
        <v>658</v>
      </c>
      <c r="B269" s="17" t="s">
        <v>141</v>
      </c>
      <c r="C269" s="17" t="s">
        <v>179</v>
      </c>
      <c r="D269" s="17">
        <v>101</v>
      </c>
      <c r="E269" s="17">
        <v>101</v>
      </c>
      <c r="F269" s="17">
        <v>0</v>
      </c>
      <c r="G269" s="17"/>
      <c r="H269" s="17">
        <v>2</v>
      </c>
      <c r="I269" s="17" t="str">
        <f>INDEX(Products!$C$2:$C$31,MATCH(B269,Products!$A$2:$A$31,0))</f>
        <v>Packaging &amp; Supplies</v>
      </c>
      <c r="J269" s="9">
        <f t="shared" si="4"/>
        <v>7</v>
      </c>
    </row>
    <row r="270" spans="1:10" ht="18" x14ac:dyDescent="0.2">
      <c r="A270" s="17">
        <v>659</v>
      </c>
      <c r="B270" s="17" t="s">
        <v>141</v>
      </c>
      <c r="C270" s="17" t="s">
        <v>180</v>
      </c>
      <c r="D270" s="17">
        <v>93</v>
      </c>
      <c r="E270" s="17">
        <v>93</v>
      </c>
      <c r="F270" s="17">
        <v>0</v>
      </c>
      <c r="G270" s="17"/>
      <c r="H270" s="17">
        <v>1</v>
      </c>
      <c r="I270" s="17" t="str">
        <f>INDEX(Products!$C$2:$C$31,MATCH(B270,Products!$A$2:$A$31,0))</f>
        <v>Packaging &amp; Supplies</v>
      </c>
      <c r="J270" s="9">
        <f t="shared" si="4"/>
        <v>8</v>
      </c>
    </row>
    <row r="271" spans="1:10" ht="18" x14ac:dyDescent="0.2">
      <c r="A271" s="17">
        <v>660</v>
      </c>
      <c r="B271" s="17" t="s">
        <v>141</v>
      </c>
      <c r="C271" s="17" t="s">
        <v>181</v>
      </c>
      <c r="D271" s="17">
        <v>83</v>
      </c>
      <c r="E271" s="17">
        <v>84</v>
      </c>
      <c r="F271" s="17">
        <v>1</v>
      </c>
      <c r="G271" s="17" t="s">
        <v>186</v>
      </c>
      <c r="H271" s="17">
        <v>4</v>
      </c>
      <c r="I271" s="17" t="str">
        <f>INDEX(Products!$C$2:$C$31,MATCH(B271,Products!$A$2:$A$31,0))</f>
        <v>Packaging &amp; Supplies</v>
      </c>
      <c r="J271" s="9">
        <f t="shared" si="4"/>
        <v>9</v>
      </c>
    </row>
    <row r="272" spans="1:10" ht="18" x14ac:dyDescent="0.2">
      <c r="A272" s="17">
        <v>661</v>
      </c>
      <c r="B272" s="17" t="s">
        <v>141</v>
      </c>
      <c r="C272" s="17" t="s">
        <v>182</v>
      </c>
      <c r="D272" s="17">
        <v>77</v>
      </c>
      <c r="E272" s="17">
        <v>76</v>
      </c>
      <c r="F272" s="17">
        <v>-1</v>
      </c>
      <c r="G272" s="17" t="s">
        <v>186</v>
      </c>
      <c r="H272" s="17">
        <v>4</v>
      </c>
      <c r="I272" s="17" t="str">
        <f>INDEX(Products!$C$2:$C$31,MATCH(B272,Products!$A$2:$A$31,0))</f>
        <v>Packaging &amp; Supplies</v>
      </c>
      <c r="J272" s="9">
        <f t="shared" si="4"/>
        <v>10</v>
      </c>
    </row>
    <row r="273" spans="1:10" ht="18" x14ac:dyDescent="0.2">
      <c r="A273" s="17">
        <v>662</v>
      </c>
      <c r="B273" s="17" t="s">
        <v>141</v>
      </c>
      <c r="C273" s="17" t="s">
        <v>183</v>
      </c>
      <c r="D273" s="17">
        <v>64</v>
      </c>
      <c r="E273" s="17">
        <v>64</v>
      </c>
      <c r="F273" s="17">
        <v>0</v>
      </c>
      <c r="G273" s="17"/>
      <c r="H273" s="17">
        <v>3</v>
      </c>
      <c r="I273" s="17" t="str">
        <f>INDEX(Products!$C$2:$C$31,MATCH(B273,Products!$A$2:$A$31,0))</f>
        <v>Packaging &amp; Supplies</v>
      </c>
      <c r="J273" s="9">
        <f t="shared" si="4"/>
        <v>11</v>
      </c>
    </row>
    <row r="274" spans="1:10" ht="18" x14ac:dyDescent="0.2">
      <c r="A274" s="17">
        <v>663</v>
      </c>
      <c r="B274" s="17" t="s">
        <v>141</v>
      </c>
      <c r="C274" s="17" t="s">
        <v>184</v>
      </c>
      <c r="D274" s="17">
        <v>74</v>
      </c>
      <c r="E274" s="17">
        <v>74</v>
      </c>
      <c r="F274" s="17">
        <v>0</v>
      </c>
      <c r="G274" s="17"/>
      <c r="H274" s="17">
        <v>5</v>
      </c>
      <c r="I274" s="17" t="str">
        <f>INDEX(Products!$C$2:$C$31,MATCH(B274,Products!$A$2:$A$31,0))</f>
        <v>Packaging &amp; Supplies</v>
      </c>
      <c r="J274" s="9">
        <f t="shared" si="4"/>
        <v>12</v>
      </c>
    </row>
    <row r="275" spans="1:10" ht="18" x14ac:dyDescent="0.2">
      <c r="A275" s="17">
        <v>664</v>
      </c>
      <c r="B275" s="17" t="s">
        <v>143</v>
      </c>
      <c r="C275" s="17" t="s">
        <v>171</v>
      </c>
      <c r="D275" s="17">
        <v>410</v>
      </c>
      <c r="E275" s="17">
        <v>410</v>
      </c>
      <c r="F275" s="17">
        <v>0</v>
      </c>
      <c r="G275" s="17"/>
      <c r="H275" s="17">
        <v>4</v>
      </c>
      <c r="I275" s="17" t="str">
        <f>INDEX(Products!$C$2:$C$31,MATCH(B275,Products!$A$2:$A$31,0))</f>
        <v>Packaging &amp; Supplies</v>
      </c>
      <c r="J275" s="9">
        <f t="shared" si="4"/>
        <v>0</v>
      </c>
    </row>
    <row r="276" spans="1:10" ht="18" x14ac:dyDescent="0.2">
      <c r="A276" s="17">
        <v>665</v>
      </c>
      <c r="B276" s="17" t="s">
        <v>143</v>
      </c>
      <c r="C276" s="17" t="s">
        <v>173</v>
      </c>
      <c r="D276" s="17">
        <v>398</v>
      </c>
      <c r="E276" s="17">
        <v>398</v>
      </c>
      <c r="F276" s="17">
        <v>0</v>
      </c>
      <c r="G276" s="17"/>
      <c r="H276" s="17">
        <v>2</v>
      </c>
      <c r="I276" s="17" t="str">
        <f>INDEX(Products!$C$2:$C$31,MATCH(B276,Products!$A$2:$A$31,0))</f>
        <v>Packaging &amp; Supplies</v>
      </c>
      <c r="J276" s="9">
        <f t="shared" si="4"/>
        <v>1</v>
      </c>
    </row>
    <row r="277" spans="1:10" ht="18" x14ac:dyDescent="0.2">
      <c r="A277" s="17">
        <v>666</v>
      </c>
      <c r="B277" s="17" t="s">
        <v>143</v>
      </c>
      <c r="C277" s="17" t="s">
        <v>174</v>
      </c>
      <c r="D277" s="17">
        <v>412</v>
      </c>
      <c r="E277" s="17">
        <v>412</v>
      </c>
      <c r="F277" s="17">
        <v>0</v>
      </c>
      <c r="G277" s="17"/>
      <c r="H277" s="17">
        <v>2</v>
      </c>
      <c r="I277" s="17" t="str">
        <f>INDEX(Products!$C$2:$C$31,MATCH(B277,Products!$A$2:$A$31,0))</f>
        <v>Packaging &amp; Supplies</v>
      </c>
      <c r="J277" s="9">
        <f t="shared" si="4"/>
        <v>2</v>
      </c>
    </row>
    <row r="278" spans="1:10" ht="18" x14ac:dyDescent="0.2">
      <c r="A278" s="17">
        <v>667</v>
      </c>
      <c r="B278" s="17" t="s">
        <v>143</v>
      </c>
      <c r="C278" s="17" t="s">
        <v>175</v>
      </c>
      <c r="D278" s="17">
        <v>399</v>
      </c>
      <c r="E278" s="17">
        <v>398</v>
      </c>
      <c r="F278" s="17">
        <v>-1</v>
      </c>
      <c r="G278" s="17" t="s">
        <v>186</v>
      </c>
      <c r="H278" s="17">
        <v>5</v>
      </c>
      <c r="I278" s="17" t="str">
        <f>INDEX(Products!$C$2:$C$31,MATCH(B278,Products!$A$2:$A$31,0))</f>
        <v>Packaging &amp; Supplies</v>
      </c>
      <c r="J278" s="9">
        <f t="shared" si="4"/>
        <v>3</v>
      </c>
    </row>
    <row r="279" spans="1:10" ht="18" x14ac:dyDescent="0.2">
      <c r="A279" s="17">
        <v>668</v>
      </c>
      <c r="B279" s="17" t="s">
        <v>143</v>
      </c>
      <c r="C279" s="17" t="s">
        <v>176</v>
      </c>
      <c r="D279" s="17">
        <v>413</v>
      </c>
      <c r="E279" s="17">
        <v>413</v>
      </c>
      <c r="F279" s="17">
        <v>0</v>
      </c>
      <c r="G279" s="17"/>
      <c r="H279" s="17">
        <v>1</v>
      </c>
      <c r="I279" s="17" t="str">
        <f>INDEX(Products!$C$2:$C$31,MATCH(B279,Products!$A$2:$A$31,0))</f>
        <v>Packaging &amp; Supplies</v>
      </c>
      <c r="J279" s="9">
        <f t="shared" si="4"/>
        <v>4</v>
      </c>
    </row>
    <row r="280" spans="1:10" ht="18" x14ac:dyDescent="0.2">
      <c r="A280" s="17">
        <v>669</v>
      </c>
      <c r="B280" s="17" t="s">
        <v>143</v>
      </c>
      <c r="C280" s="17" t="s">
        <v>177</v>
      </c>
      <c r="D280" s="17">
        <v>412</v>
      </c>
      <c r="E280" s="17">
        <v>412</v>
      </c>
      <c r="F280" s="17">
        <v>0</v>
      </c>
      <c r="G280" s="17"/>
      <c r="H280" s="17">
        <v>4</v>
      </c>
      <c r="I280" s="17" t="str">
        <f>INDEX(Products!$C$2:$C$31,MATCH(B280,Products!$A$2:$A$31,0))</f>
        <v>Packaging &amp; Supplies</v>
      </c>
      <c r="J280" s="9">
        <f t="shared" si="4"/>
        <v>5</v>
      </c>
    </row>
    <row r="281" spans="1:10" ht="18" x14ac:dyDescent="0.2">
      <c r="A281" s="17">
        <v>670</v>
      </c>
      <c r="B281" s="17" t="s">
        <v>143</v>
      </c>
      <c r="C281" s="17" t="s">
        <v>178</v>
      </c>
      <c r="D281" s="17">
        <v>427</v>
      </c>
      <c r="E281" s="17">
        <v>427</v>
      </c>
      <c r="F281" s="17">
        <v>0</v>
      </c>
      <c r="G281" s="17"/>
      <c r="H281" s="17">
        <v>5</v>
      </c>
      <c r="I281" s="17" t="str">
        <f>INDEX(Products!$C$2:$C$31,MATCH(B281,Products!$A$2:$A$31,0))</f>
        <v>Packaging &amp; Supplies</v>
      </c>
      <c r="J281" s="9">
        <f t="shared" si="4"/>
        <v>6</v>
      </c>
    </row>
    <row r="282" spans="1:10" ht="18" x14ac:dyDescent="0.2">
      <c r="A282" s="17">
        <v>671</v>
      </c>
      <c r="B282" s="17" t="s">
        <v>143</v>
      </c>
      <c r="C282" s="17" t="s">
        <v>179</v>
      </c>
      <c r="D282" s="17">
        <v>427</v>
      </c>
      <c r="E282" s="17">
        <v>427</v>
      </c>
      <c r="F282" s="17">
        <v>0</v>
      </c>
      <c r="G282" s="17"/>
      <c r="H282" s="17">
        <v>5</v>
      </c>
      <c r="I282" s="17" t="str">
        <f>INDEX(Products!$C$2:$C$31,MATCH(B282,Products!$A$2:$A$31,0))</f>
        <v>Packaging &amp; Supplies</v>
      </c>
      <c r="J282" s="9">
        <f t="shared" si="4"/>
        <v>7</v>
      </c>
    </row>
    <row r="283" spans="1:10" ht="18" x14ac:dyDescent="0.2">
      <c r="A283" s="17">
        <v>672</v>
      </c>
      <c r="B283" s="17" t="s">
        <v>143</v>
      </c>
      <c r="C283" s="17" t="s">
        <v>180</v>
      </c>
      <c r="D283" s="17">
        <v>413</v>
      </c>
      <c r="E283" s="17">
        <v>413</v>
      </c>
      <c r="F283" s="17">
        <v>0</v>
      </c>
      <c r="G283" s="17"/>
      <c r="H283" s="17">
        <v>3</v>
      </c>
      <c r="I283" s="17" t="str">
        <f>INDEX(Products!$C$2:$C$31,MATCH(B283,Products!$A$2:$A$31,0))</f>
        <v>Packaging &amp; Supplies</v>
      </c>
      <c r="J283" s="9">
        <f t="shared" si="4"/>
        <v>8</v>
      </c>
    </row>
    <row r="284" spans="1:10" ht="18" x14ac:dyDescent="0.2">
      <c r="A284" s="17">
        <v>673</v>
      </c>
      <c r="B284" s="17" t="s">
        <v>143</v>
      </c>
      <c r="C284" s="17" t="s">
        <v>181</v>
      </c>
      <c r="D284" s="17">
        <v>417</v>
      </c>
      <c r="E284" s="17">
        <v>417</v>
      </c>
      <c r="F284" s="17">
        <v>0</v>
      </c>
      <c r="G284" s="17"/>
      <c r="H284" s="17">
        <v>1</v>
      </c>
      <c r="I284" s="17" t="str">
        <f>INDEX(Products!$C$2:$C$31,MATCH(B284,Products!$A$2:$A$31,0))</f>
        <v>Packaging &amp; Supplies</v>
      </c>
      <c r="J284" s="9">
        <f t="shared" si="4"/>
        <v>9</v>
      </c>
    </row>
    <row r="285" spans="1:10" ht="18" x14ac:dyDescent="0.2">
      <c r="A285" s="17">
        <v>674</v>
      </c>
      <c r="B285" s="17" t="s">
        <v>143</v>
      </c>
      <c r="C285" s="17" t="s">
        <v>182</v>
      </c>
      <c r="D285" s="17">
        <v>409</v>
      </c>
      <c r="E285" s="17">
        <v>409</v>
      </c>
      <c r="F285" s="17">
        <v>0</v>
      </c>
      <c r="G285" s="17"/>
      <c r="H285" s="17">
        <v>5</v>
      </c>
      <c r="I285" s="17" t="str">
        <f>INDEX(Products!$C$2:$C$31,MATCH(B285,Products!$A$2:$A$31,0))</f>
        <v>Packaging &amp; Supplies</v>
      </c>
      <c r="J285" s="9">
        <f t="shared" si="4"/>
        <v>10</v>
      </c>
    </row>
    <row r="286" spans="1:10" ht="18" x14ac:dyDescent="0.2">
      <c r="A286" s="17">
        <v>675</v>
      </c>
      <c r="B286" s="17" t="s">
        <v>143</v>
      </c>
      <c r="C286" s="17" t="s">
        <v>183</v>
      </c>
      <c r="D286" s="17">
        <v>412</v>
      </c>
      <c r="E286" s="17">
        <v>412</v>
      </c>
      <c r="F286" s="17">
        <v>0</v>
      </c>
      <c r="G286" s="17"/>
      <c r="H286" s="17">
        <v>3</v>
      </c>
      <c r="I286" s="17" t="str">
        <f>INDEX(Products!$C$2:$C$31,MATCH(B286,Products!$A$2:$A$31,0))</f>
        <v>Packaging &amp; Supplies</v>
      </c>
      <c r="J286" s="9">
        <f t="shared" si="4"/>
        <v>11</v>
      </c>
    </row>
    <row r="287" spans="1:10" ht="18" x14ac:dyDescent="0.2">
      <c r="A287" s="17">
        <v>676</v>
      </c>
      <c r="B287" s="17" t="s">
        <v>143</v>
      </c>
      <c r="C287" s="17" t="s">
        <v>184</v>
      </c>
      <c r="D287" s="17">
        <v>415</v>
      </c>
      <c r="E287" s="17">
        <v>413</v>
      </c>
      <c r="F287" s="17">
        <v>-2</v>
      </c>
      <c r="G287" s="17" t="s">
        <v>186</v>
      </c>
      <c r="H287" s="17">
        <v>4</v>
      </c>
      <c r="I287" s="17" t="str">
        <f>INDEX(Products!$C$2:$C$31,MATCH(B287,Products!$A$2:$A$31,0))</f>
        <v>Packaging &amp; Supplies</v>
      </c>
      <c r="J287" s="9">
        <f t="shared" si="4"/>
        <v>12</v>
      </c>
    </row>
    <row r="288" spans="1:10" ht="18" x14ac:dyDescent="0.2">
      <c r="A288" s="17">
        <v>677</v>
      </c>
      <c r="B288" s="17" t="s">
        <v>145</v>
      </c>
      <c r="C288" s="17" t="s">
        <v>171</v>
      </c>
      <c r="D288" s="17">
        <v>170</v>
      </c>
      <c r="E288" s="17">
        <v>170</v>
      </c>
      <c r="F288" s="17">
        <v>0</v>
      </c>
      <c r="G288" s="17"/>
      <c r="H288" s="17">
        <v>4</v>
      </c>
      <c r="I288" s="17" t="str">
        <f>INDEX(Products!$C$2:$C$31,MATCH(B288,Products!$A$2:$A$31,0))</f>
        <v>Packaging &amp; Supplies</v>
      </c>
      <c r="J288" s="9">
        <f t="shared" si="4"/>
        <v>0</v>
      </c>
    </row>
    <row r="289" spans="1:10" ht="18" x14ac:dyDescent="0.2">
      <c r="A289" s="17">
        <v>678</v>
      </c>
      <c r="B289" s="17" t="s">
        <v>145</v>
      </c>
      <c r="C289" s="17" t="s">
        <v>173</v>
      </c>
      <c r="D289" s="17">
        <v>175</v>
      </c>
      <c r="E289" s="17">
        <v>175</v>
      </c>
      <c r="F289" s="17">
        <v>0</v>
      </c>
      <c r="G289" s="17"/>
      <c r="H289" s="17">
        <v>1</v>
      </c>
      <c r="I289" s="17" t="str">
        <f>INDEX(Products!$C$2:$C$31,MATCH(B289,Products!$A$2:$A$31,0))</f>
        <v>Packaging &amp; Supplies</v>
      </c>
      <c r="J289" s="9">
        <f t="shared" si="4"/>
        <v>1</v>
      </c>
    </row>
    <row r="290" spans="1:10" ht="18" x14ac:dyDescent="0.2">
      <c r="A290" s="17">
        <v>679</v>
      </c>
      <c r="B290" s="17" t="s">
        <v>145</v>
      </c>
      <c r="C290" s="17" t="s">
        <v>174</v>
      </c>
      <c r="D290" s="17">
        <v>175</v>
      </c>
      <c r="E290" s="17">
        <v>175</v>
      </c>
      <c r="F290" s="17">
        <v>0</v>
      </c>
      <c r="G290" s="17"/>
      <c r="H290" s="17">
        <v>3</v>
      </c>
      <c r="I290" s="17" t="str">
        <f>INDEX(Products!$C$2:$C$31,MATCH(B290,Products!$A$2:$A$31,0))</f>
        <v>Packaging &amp; Supplies</v>
      </c>
      <c r="J290" s="9">
        <f t="shared" si="4"/>
        <v>2</v>
      </c>
    </row>
    <row r="291" spans="1:10" ht="18" x14ac:dyDescent="0.2">
      <c r="A291" s="17">
        <v>680</v>
      </c>
      <c r="B291" s="17" t="s">
        <v>145</v>
      </c>
      <c r="C291" s="17" t="s">
        <v>175</v>
      </c>
      <c r="D291" s="17">
        <v>170</v>
      </c>
      <c r="E291" s="17">
        <v>170</v>
      </c>
      <c r="F291" s="17">
        <v>0</v>
      </c>
      <c r="G291" s="17"/>
      <c r="H291" s="17">
        <v>2</v>
      </c>
      <c r="I291" s="17" t="str">
        <f>INDEX(Products!$C$2:$C$31,MATCH(B291,Products!$A$2:$A$31,0))</f>
        <v>Packaging &amp; Supplies</v>
      </c>
      <c r="J291" s="9">
        <f t="shared" si="4"/>
        <v>3</v>
      </c>
    </row>
    <row r="292" spans="1:10" ht="18" x14ac:dyDescent="0.2">
      <c r="A292" s="17">
        <v>681</v>
      </c>
      <c r="B292" s="17" t="s">
        <v>145</v>
      </c>
      <c r="C292" s="17" t="s">
        <v>176</v>
      </c>
      <c r="D292" s="17">
        <v>165</v>
      </c>
      <c r="E292" s="17">
        <v>165</v>
      </c>
      <c r="F292" s="17">
        <v>0</v>
      </c>
      <c r="G292" s="17"/>
      <c r="H292" s="17">
        <v>4</v>
      </c>
      <c r="I292" s="17" t="str">
        <f>INDEX(Products!$C$2:$C$31,MATCH(B292,Products!$A$2:$A$31,0))</f>
        <v>Packaging &amp; Supplies</v>
      </c>
      <c r="J292" s="9">
        <f t="shared" si="4"/>
        <v>4</v>
      </c>
    </row>
    <row r="293" spans="1:10" ht="18" x14ac:dyDescent="0.2">
      <c r="A293" s="17">
        <v>682</v>
      </c>
      <c r="B293" s="17" t="s">
        <v>145</v>
      </c>
      <c r="C293" s="17" t="s">
        <v>177</v>
      </c>
      <c r="D293" s="17">
        <v>159</v>
      </c>
      <c r="E293" s="17">
        <v>159</v>
      </c>
      <c r="F293" s="17">
        <v>0</v>
      </c>
      <c r="G293" s="17"/>
      <c r="H293" s="17">
        <v>4</v>
      </c>
      <c r="I293" s="17" t="str">
        <f>INDEX(Products!$C$2:$C$31,MATCH(B293,Products!$A$2:$A$31,0))</f>
        <v>Packaging &amp; Supplies</v>
      </c>
      <c r="J293" s="9">
        <f t="shared" si="4"/>
        <v>5</v>
      </c>
    </row>
    <row r="294" spans="1:10" ht="18" x14ac:dyDescent="0.2">
      <c r="A294" s="17">
        <v>683</v>
      </c>
      <c r="B294" s="17" t="s">
        <v>145</v>
      </c>
      <c r="C294" s="17" t="s">
        <v>178</v>
      </c>
      <c r="D294" s="17">
        <v>170</v>
      </c>
      <c r="E294" s="17">
        <v>170</v>
      </c>
      <c r="F294" s="17">
        <v>0</v>
      </c>
      <c r="G294" s="17"/>
      <c r="H294" s="17">
        <v>1</v>
      </c>
      <c r="I294" s="17" t="str">
        <f>INDEX(Products!$C$2:$C$31,MATCH(B294,Products!$A$2:$A$31,0))</f>
        <v>Packaging &amp; Supplies</v>
      </c>
      <c r="J294" s="9">
        <f t="shared" si="4"/>
        <v>6</v>
      </c>
    </row>
    <row r="295" spans="1:10" ht="18" x14ac:dyDescent="0.2">
      <c r="A295" s="17">
        <v>684</v>
      </c>
      <c r="B295" s="17" t="s">
        <v>145</v>
      </c>
      <c r="C295" s="17" t="s">
        <v>179</v>
      </c>
      <c r="D295" s="17">
        <v>169</v>
      </c>
      <c r="E295" s="17">
        <v>168</v>
      </c>
      <c r="F295" s="17">
        <v>-1</v>
      </c>
      <c r="G295" s="17" t="s">
        <v>172</v>
      </c>
      <c r="H295" s="17">
        <v>4</v>
      </c>
      <c r="I295" s="17" t="str">
        <f>INDEX(Products!$C$2:$C$31,MATCH(B295,Products!$A$2:$A$31,0))</f>
        <v>Packaging &amp; Supplies</v>
      </c>
      <c r="J295" s="9">
        <f t="shared" si="4"/>
        <v>7</v>
      </c>
    </row>
    <row r="296" spans="1:10" ht="18" x14ac:dyDescent="0.2">
      <c r="A296" s="17">
        <v>685</v>
      </c>
      <c r="B296" s="17" t="s">
        <v>145</v>
      </c>
      <c r="C296" s="17" t="s">
        <v>180</v>
      </c>
      <c r="D296" s="17">
        <v>181</v>
      </c>
      <c r="E296" s="17">
        <v>181</v>
      </c>
      <c r="F296" s="17">
        <v>0</v>
      </c>
      <c r="G296" s="17"/>
      <c r="H296" s="17">
        <v>1</v>
      </c>
      <c r="I296" s="17" t="str">
        <f>INDEX(Products!$C$2:$C$31,MATCH(B296,Products!$A$2:$A$31,0))</f>
        <v>Packaging &amp; Supplies</v>
      </c>
      <c r="J296" s="9">
        <f t="shared" si="4"/>
        <v>8</v>
      </c>
    </row>
    <row r="297" spans="1:10" ht="18" x14ac:dyDescent="0.2">
      <c r="A297" s="17">
        <v>686</v>
      </c>
      <c r="B297" s="17" t="s">
        <v>145</v>
      </c>
      <c r="C297" s="17" t="s">
        <v>181</v>
      </c>
      <c r="D297" s="17">
        <v>187</v>
      </c>
      <c r="E297" s="17">
        <v>187</v>
      </c>
      <c r="F297" s="17">
        <v>0</v>
      </c>
      <c r="G297" s="17"/>
      <c r="H297" s="17">
        <v>4</v>
      </c>
      <c r="I297" s="17" t="str">
        <f>INDEX(Products!$C$2:$C$31,MATCH(B297,Products!$A$2:$A$31,0))</f>
        <v>Packaging &amp; Supplies</v>
      </c>
      <c r="J297" s="9">
        <f t="shared" si="4"/>
        <v>9</v>
      </c>
    </row>
    <row r="298" spans="1:10" ht="18" x14ac:dyDescent="0.2">
      <c r="A298" s="17">
        <v>687</v>
      </c>
      <c r="B298" s="17" t="s">
        <v>145</v>
      </c>
      <c r="C298" s="17" t="s">
        <v>182</v>
      </c>
      <c r="D298" s="17">
        <v>185</v>
      </c>
      <c r="E298" s="17">
        <v>187</v>
      </c>
      <c r="F298" s="17">
        <v>2</v>
      </c>
      <c r="G298" s="17" t="s">
        <v>172</v>
      </c>
      <c r="H298" s="17">
        <v>4</v>
      </c>
      <c r="I298" s="17" t="str">
        <f>INDEX(Products!$C$2:$C$31,MATCH(B298,Products!$A$2:$A$31,0))</f>
        <v>Packaging &amp; Supplies</v>
      </c>
      <c r="J298" s="9">
        <f t="shared" si="4"/>
        <v>10</v>
      </c>
    </row>
    <row r="299" spans="1:10" ht="18" x14ac:dyDescent="0.2">
      <c r="A299" s="17">
        <v>688</v>
      </c>
      <c r="B299" s="17" t="s">
        <v>145</v>
      </c>
      <c r="C299" s="17" t="s">
        <v>183</v>
      </c>
      <c r="D299" s="17">
        <v>190</v>
      </c>
      <c r="E299" s="17">
        <v>190</v>
      </c>
      <c r="F299" s="17">
        <v>0</v>
      </c>
      <c r="G299" s="17"/>
      <c r="H299" s="17">
        <v>1</v>
      </c>
      <c r="I299" s="17" t="str">
        <f>INDEX(Products!$C$2:$C$31,MATCH(B299,Products!$A$2:$A$31,0))</f>
        <v>Packaging &amp; Supplies</v>
      </c>
      <c r="J299" s="9">
        <f t="shared" si="4"/>
        <v>11</v>
      </c>
    </row>
    <row r="300" spans="1:10" ht="18" x14ac:dyDescent="0.2">
      <c r="A300" s="17">
        <v>689</v>
      </c>
      <c r="B300" s="17" t="s">
        <v>145</v>
      </c>
      <c r="C300" s="17" t="s">
        <v>184</v>
      </c>
      <c r="D300" s="17">
        <v>181</v>
      </c>
      <c r="E300" s="17">
        <v>181</v>
      </c>
      <c r="F300" s="17">
        <v>0</v>
      </c>
      <c r="G300" s="17"/>
      <c r="H300" s="17">
        <v>2</v>
      </c>
      <c r="I300" s="17" t="str">
        <f>INDEX(Products!$C$2:$C$31,MATCH(B300,Products!$A$2:$A$31,0))</f>
        <v>Packaging &amp; Supplies</v>
      </c>
      <c r="J300" s="9">
        <f t="shared" si="4"/>
        <v>12</v>
      </c>
    </row>
    <row r="301" spans="1:10" ht="18" x14ac:dyDescent="0.2">
      <c r="A301" s="17">
        <v>690</v>
      </c>
      <c r="B301" s="17" t="s">
        <v>147</v>
      </c>
      <c r="C301" s="17" t="s">
        <v>171</v>
      </c>
      <c r="D301" s="17">
        <v>359</v>
      </c>
      <c r="E301" s="17">
        <v>359</v>
      </c>
      <c r="F301" s="17">
        <v>0</v>
      </c>
      <c r="G301" s="17"/>
      <c r="H301" s="17">
        <v>4</v>
      </c>
      <c r="I301" s="17" t="str">
        <f>INDEX(Products!$C$2:$C$31,MATCH(B301,Products!$A$2:$A$31,0))</f>
        <v>Packaging &amp; Supplies</v>
      </c>
      <c r="J301" s="9">
        <f t="shared" si="4"/>
        <v>0</v>
      </c>
    </row>
    <row r="302" spans="1:10" ht="18" x14ac:dyDescent="0.2">
      <c r="A302" s="17">
        <v>691</v>
      </c>
      <c r="B302" s="17" t="s">
        <v>147</v>
      </c>
      <c r="C302" s="17" t="s">
        <v>173</v>
      </c>
      <c r="D302" s="17">
        <v>347</v>
      </c>
      <c r="E302" s="17">
        <v>349</v>
      </c>
      <c r="F302" s="17">
        <v>2</v>
      </c>
      <c r="G302" s="17" t="s">
        <v>185</v>
      </c>
      <c r="H302" s="17">
        <v>2</v>
      </c>
      <c r="I302" s="17" t="str">
        <f>INDEX(Products!$C$2:$C$31,MATCH(B302,Products!$A$2:$A$31,0))</f>
        <v>Packaging &amp; Supplies</v>
      </c>
      <c r="J302" s="9">
        <f t="shared" si="4"/>
        <v>1</v>
      </c>
    </row>
    <row r="303" spans="1:10" ht="18" x14ac:dyDescent="0.2">
      <c r="A303" s="17">
        <v>692</v>
      </c>
      <c r="B303" s="17" t="s">
        <v>147</v>
      </c>
      <c r="C303" s="17" t="s">
        <v>174</v>
      </c>
      <c r="D303" s="17">
        <v>341</v>
      </c>
      <c r="E303" s="17">
        <v>341</v>
      </c>
      <c r="F303" s="17">
        <v>0</v>
      </c>
      <c r="G303" s="17"/>
      <c r="H303" s="17">
        <v>5</v>
      </c>
      <c r="I303" s="17" t="str">
        <f>INDEX(Products!$C$2:$C$31,MATCH(B303,Products!$A$2:$A$31,0))</f>
        <v>Packaging &amp; Supplies</v>
      </c>
      <c r="J303" s="9">
        <f t="shared" si="4"/>
        <v>2</v>
      </c>
    </row>
    <row r="304" spans="1:10" ht="18" x14ac:dyDescent="0.2">
      <c r="A304" s="17">
        <v>693</v>
      </c>
      <c r="B304" s="17" t="s">
        <v>147</v>
      </c>
      <c r="C304" s="17" t="s">
        <v>175</v>
      </c>
      <c r="D304" s="17">
        <v>339</v>
      </c>
      <c r="E304" s="17">
        <v>336</v>
      </c>
      <c r="F304" s="17">
        <v>-3</v>
      </c>
      <c r="G304" s="17" t="s">
        <v>186</v>
      </c>
      <c r="H304" s="17">
        <v>1</v>
      </c>
      <c r="I304" s="17" t="str">
        <f>INDEX(Products!$C$2:$C$31,MATCH(B304,Products!$A$2:$A$31,0))</f>
        <v>Packaging &amp; Supplies</v>
      </c>
      <c r="J304" s="9">
        <f t="shared" si="4"/>
        <v>3</v>
      </c>
    </row>
    <row r="305" spans="1:10" ht="18" x14ac:dyDescent="0.2">
      <c r="A305" s="17">
        <v>694</v>
      </c>
      <c r="B305" s="17" t="s">
        <v>147</v>
      </c>
      <c r="C305" s="17" t="s">
        <v>176</v>
      </c>
      <c r="D305" s="17">
        <v>344</v>
      </c>
      <c r="E305" s="17">
        <v>344</v>
      </c>
      <c r="F305" s="17">
        <v>0</v>
      </c>
      <c r="G305" s="17"/>
      <c r="H305" s="17">
        <v>4</v>
      </c>
      <c r="I305" s="17" t="str">
        <f>INDEX(Products!$C$2:$C$31,MATCH(B305,Products!$A$2:$A$31,0))</f>
        <v>Packaging &amp; Supplies</v>
      </c>
      <c r="J305" s="9">
        <f t="shared" si="4"/>
        <v>4</v>
      </c>
    </row>
    <row r="306" spans="1:10" ht="18" x14ac:dyDescent="0.2">
      <c r="A306" s="17">
        <v>695</v>
      </c>
      <c r="B306" s="17" t="s">
        <v>147</v>
      </c>
      <c r="C306" s="17" t="s">
        <v>177</v>
      </c>
      <c r="D306" s="17">
        <v>358</v>
      </c>
      <c r="E306" s="17">
        <v>358</v>
      </c>
      <c r="F306" s="17">
        <v>0</v>
      </c>
      <c r="G306" s="17"/>
      <c r="H306" s="17">
        <v>5</v>
      </c>
      <c r="I306" s="17" t="str">
        <f>INDEX(Products!$C$2:$C$31,MATCH(B306,Products!$A$2:$A$31,0))</f>
        <v>Packaging &amp; Supplies</v>
      </c>
      <c r="J306" s="9">
        <f t="shared" si="4"/>
        <v>5</v>
      </c>
    </row>
    <row r="307" spans="1:10" ht="18" x14ac:dyDescent="0.2">
      <c r="A307" s="17">
        <v>696</v>
      </c>
      <c r="B307" s="17" t="s">
        <v>147</v>
      </c>
      <c r="C307" s="17" t="s">
        <v>178</v>
      </c>
      <c r="D307" s="17">
        <v>365</v>
      </c>
      <c r="E307" s="17">
        <v>365</v>
      </c>
      <c r="F307" s="17">
        <v>0</v>
      </c>
      <c r="G307" s="17"/>
      <c r="H307" s="17">
        <v>4</v>
      </c>
      <c r="I307" s="17" t="str">
        <f>INDEX(Products!$C$2:$C$31,MATCH(B307,Products!$A$2:$A$31,0))</f>
        <v>Packaging &amp; Supplies</v>
      </c>
      <c r="J307" s="9">
        <f t="shared" si="4"/>
        <v>6</v>
      </c>
    </row>
    <row r="308" spans="1:10" ht="18" x14ac:dyDescent="0.2">
      <c r="A308" s="17">
        <v>697</v>
      </c>
      <c r="B308" s="17" t="s">
        <v>147</v>
      </c>
      <c r="C308" s="17" t="s">
        <v>179</v>
      </c>
      <c r="D308" s="17">
        <v>365</v>
      </c>
      <c r="E308" s="17">
        <v>367</v>
      </c>
      <c r="F308" s="17">
        <v>2</v>
      </c>
      <c r="G308" s="17" t="s">
        <v>172</v>
      </c>
      <c r="H308" s="17">
        <v>2</v>
      </c>
      <c r="I308" s="17" t="str">
        <f>INDEX(Products!$C$2:$C$31,MATCH(B308,Products!$A$2:$A$31,0))</f>
        <v>Packaging &amp; Supplies</v>
      </c>
      <c r="J308" s="9">
        <f t="shared" si="4"/>
        <v>7</v>
      </c>
    </row>
    <row r="309" spans="1:10" ht="18" x14ac:dyDescent="0.2">
      <c r="A309" s="17">
        <v>698</v>
      </c>
      <c r="B309" s="17" t="s">
        <v>147</v>
      </c>
      <c r="C309" s="17" t="s">
        <v>180</v>
      </c>
      <c r="D309" s="17">
        <v>379</v>
      </c>
      <c r="E309" s="17">
        <v>379</v>
      </c>
      <c r="F309" s="17">
        <v>0</v>
      </c>
      <c r="G309" s="17"/>
      <c r="H309" s="17">
        <v>2</v>
      </c>
      <c r="I309" s="17" t="str">
        <f>INDEX(Products!$C$2:$C$31,MATCH(B309,Products!$A$2:$A$31,0))</f>
        <v>Packaging &amp; Supplies</v>
      </c>
      <c r="J309" s="9">
        <f t="shared" si="4"/>
        <v>8</v>
      </c>
    </row>
    <row r="310" spans="1:10" ht="18" x14ac:dyDescent="0.2">
      <c r="A310" s="17">
        <v>699</v>
      </c>
      <c r="B310" s="17" t="s">
        <v>147</v>
      </c>
      <c r="C310" s="17" t="s">
        <v>181</v>
      </c>
      <c r="D310" s="17">
        <v>391</v>
      </c>
      <c r="E310" s="17">
        <v>392</v>
      </c>
      <c r="F310" s="17">
        <v>1</v>
      </c>
      <c r="G310" s="17" t="s">
        <v>172</v>
      </c>
      <c r="H310" s="17">
        <v>5</v>
      </c>
      <c r="I310" s="17" t="str">
        <f>INDEX(Products!$C$2:$C$31,MATCH(B310,Products!$A$2:$A$31,0))</f>
        <v>Packaging &amp; Supplies</v>
      </c>
      <c r="J310" s="9">
        <f t="shared" si="4"/>
        <v>9</v>
      </c>
    </row>
    <row r="311" spans="1:10" ht="18" x14ac:dyDescent="0.2">
      <c r="A311" s="17">
        <v>700</v>
      </c>
      <c r="B311" s="17" t="s">
        <v>147</v>
      </c>
      <c r="C311" s="17" t="s">
        <v>182</v>
      </c>
      <c r="D311" s="17">
        <v>384</v>
      </c>
      <c r="E311" s="17">
        <v>384</v>
      </c>
      <c r="F311" s="17">
        <v>0</v>
      </c>
      <c r="G311" s="17"/>
      <c r="H311" s="17">
        <v>3</v>
      </c>
      <c r="I311" s="17" t="str">
        <f>INDEX(Products!$C$2:$C$31,MATCH(B311,Products!$A$2:$A$31,0))</f>
        <v>Packaging &amp; Supplies</v>
      </c>
      <c r="J311" s="9">
        <f t="shared" si="4"/>
        <v>10</v>
      </c>
    </row>
    <row r="312" spans="1:10" ht="18" x14ac:dyDescent="0.2">
      <c r="A312" s="17">
        <v>701</v>
      </c>
      <c r="B312" s="17" t="s">
        <v>147</v>
      </c>
      <c r="C312" s="17" t="s">
        <v>183</v>
      </c>
      <c r="D312" s="17">
        <v>392</v>
      </c>
      <c r="E312" s="17">
        <v>392</v>
      </c>
      <c r="F312" s="17">
        <v>0</v>
      </c>
      <c r="G312" s="17"/>
      <c r="H312" s="17">
        <v>5</v>
      </c>
      <c r="I312" s="17" t="str">
        <f>INDEX(Products!$C$2:$C$31,MATCH(B312,Products!$A$2:$A$31,0))</f>
        <v>Packaging &amp; Supplies</v>
      </c>
      <c r="J312" s="9">
        <f t="shared" si="4"/>
        <v>11</v>
      </c>
    </row>
    <row r="313" spans="1:10" ht="18" x14ac:dyDescent="0.2">
      <c r="A313" s="17">
        <v>702</v>
      </c>
      <c r="B313" s="17" t="s">
        <v>147</v>
      </c>
      <c r="C313" s="17" t="s">
        <v>184</v>
      </c>
      <c r="D313" s="17">
        <v>395</v>
      </c>
      <c r="E313" s="17">
        <v>395</v>
      </c>
      <c r="F313" s="17">
        <v>0</v>
      </c>
      <c r="G313" s="17"/>
      <c r="H313" s="17">
        <v>4</v>
      </c>
      <c r="I313" s="17" t="str">
        <f>INDEX(Products!$C$2:$C$31,MATCH(B313,Products!$A$2:$A$31,0))</f>
        <v>Packaging &amp; Supplies</v>
      </c>
      <c r="J313" s="9">
        <f t="shared" si="4"/>
        <v>12</v>
      </c>
    </row>
    <row r="314" spans="1:10" ht="18" x14ac:dyDescent="0.2">
      <c r="A314" s="17">
        <v>703</v>
      </c>
      <c r="B314" s="17" t="s">
        <v>149</v>
      </c>
      <c r="C314" s="17" t="s">
        <v>171</v>
      </c>
      <c r="D314" s="17">
        <v>59</v>
      </c>
      <c r="E314" s="17">
        <v>59</v>
      </c>
      <c r="F314" s="17">
        <v>0</v>
      </c>
      <c r="G314" s="17"/>
      <c r="H314" s="17">
        <v>3</v>
      </c>
      <c r="I314" s="17" t="str">
        <f>INDEX(Products!$C$2:$C$31,MATCH(B314,Products!$A$2:$A$31,0))</f>
        <v>Cultured &amp; Specialty</v>
      </c>
      <c r="J314" s="9">
        <f t="shared" si="4"/>
        <v>0</v>
      </c>
    </row>
    <row r="315" spans="1:10" ht="18" x14ac:dyDescent="0.2">
      <c r="A315" s="17">
        <v>704</v>
      </c>
      <c r="B315" s="17" t="s">
        <v>149</v>
      </c>
      <c r="C315" s="17" t="s">
        <v>173</v>
      </c>
      <c r="D315" s="17">
        <v>54</v>
      </c>
      <c r="E315" s="17">
        <v>54</v>
      </c>
      <c r="F315" s="17">
        <v>0</v>
      </c>
      <c r="G315" s="17"/>
      <c r="H315" s="17">
        <v>5</v>
      </c>
      <c r="I315" s="17" t="str">
        <f>INDEX(Products!$C$2:$C$31,MATCH(B315,Products!$A$2:$A$31,0))</f>
        <v>Cultured &amp; Specialty</v>
      </c>
      <c r="J315" s="9">
        <f t="shared" si="4"/>
        <v>1</v>
      </c>
    </row>
    <row r="316" spans="1:10" ht="18" x14ac:dyDescent="0.2">
      <c r="A316" s="17">
        <v>705</v>
      </c>
      <c r="B316" s="17" t="s">
        <v>149</v>
      </c>
      <c r="C316" s="17" t="s">
        <v>174</v>
      </c>
      <c r="D316" s="17">
        <v>51</v>
      </c>
      <c r="E316" s="17">
        <v>51</v>
      </c>
      <c r="F316" s="17">
        <v>0</v>
      </c>
      <c r="G316" s="17"/>
      <c r="H316" s="17">
        <v>3</v>
      </c>
      <c r="I316" s="17" t="str">
        <f>INDEX(Products!$C$2:$C$31,MATCH(B316,Products!$A$2:$A$31,0))</f>
        <v>Cultured &amp; Specialty</v>
      </c>
      <c r="J316" s="9">
        <f t="shared" si="4"/>
        <v>2</v>
      </c>
    </row>
    <row r="317" spans="1:10" ht="18" x14ac:dyDescent="0.2">
      <c r="A317" s="17">
        <v>706</v>
      </c>
      <c r="B317" s="17" t="s">
        <v>149</v>
      </c>
      <c r="C317" s="17" t="s">
        <v>175</v>
      </c>
      <c r="D317" s="17">
        <v>63</v>
      </c>
      <c r="E317" s="17">
        <v>63</v>
      </c>
      <c r="F317" s="17">
        <v>0</v>
      </c>
      <c r="G317" s="17"/>
      <c r="H317" s="17">
        <v>2</v>
      </c>
      <c r="I317" s="17" t="str">
        <f>INDEX(Products!$C$2:$C$31,MATCH(B317,Products!$A$2:$A$31,0))</f>
        <v>Cultured &amp; Specialty</v>
      </c>
      <c r="J317" s="9">
        <f t="shared" si="4"/>
        <v>3</v>
      </c>
    </row>
    <row r="318" spans="1:10" ht="18" x14ac:dyDescent="0.2">
      <c r="A318" s="17">
        <v>707</v>
      </c>
      <c r="B318" s="17" t="s">
        <v>149</v>
      </c>
      <c r="C318" s="17" t="s">
        <v>176</v>
      </c>
      <c r="D318" s="17">
        <v>66</v>
      </c>
      <c r="E318" s="17">
        <v>66</v>
      </c>
      <c r="F318" s="17">
        <v>0</v>
      </c>
      <c r="G318" s="17"/>
      <c r="H318" s="17">
        <v>4</v>
      </c>
      <c r="I318" s="17" t="str">
        <f>INDEX(Products!$C$2:$C$31,MATCH(B318,Products!$A$2:$A$31,0))</f>
        <v>Cultured &amp; Specialty</v>
      </c>
      <c r="J318" s="9">
        <f t="shared" si="4"/>
        <v>4</v>
      </c>
    </row>
    <row r="319" spans="1:10" ht="18" x14ac:dyDescent="0.2">
      <c r="A319" s="17">
        <v>708</v>
      </c>
      <c r="B319" s="17" t="s">
        <v>149</v>
      </c>
      <c r="C319" s="17" t="s">
        <v>177</v>
      </c>
      <c r="D319" s="17">
        <v>52</v>
      </c>
      <c r="E319" s="17">
        <v>52</v>
      </c>
      <c r="F319" s="17">
        <v>0</v>
      </c>
      <c r="G319" s="17"/>
      <c r="H319" s="17">
        <v>4</v>
      </c>
      <c r="I319" s="17" t="str">
        <f>INDEX(Products!$C$2:$C$31,MATCH(B319,Products!$A$2:$A$31,0))</f>
        <v>Cultured &amp; Specialty</v>
      </c>
      <c r="J319" s="9">
        <f t="shared" si="4"/>
        <v>5</v>
      </c>
    </row>
    <row r="320" spans="1:10" ht="18" x14ac:dyDescent="0.2">
      <c r="A320" s="17">
        <v>709</v>
      </c>
      <c r="B320" s="17" t="s">
        <v>149</v>
      </c>
      <c r="C320" s="17" t="s">
        <v>178</v>
      </c>
      <c r="D320" s="17">
        <v>59</v>
      </c>
      <c r="E320" s="17">
        <v>59</v>
      </c>
      <c r="F320" s="17">
        <v>0</v>
      </c>
      <c r="G320" s="17"/>
      <c r="H320" s="17">
        <v>4</v>
      </c>
      <c r="I320" s="17" t="str">
        <f>INDEX(Products!$C$2:$C$31,MATCH(B320,Products!$A$2:$A$31,0))</f>
        <v>Cultured &amp; Specialty</v>
      </c>
      <c r="J320" s="9">
        <f t="shared" si="4"/>
        <v>6</v>
      </c>
    </row>
    <row r="321" spans="1:10" ht="18" x14ac:dyDescent="0.2">
      <c r="A321" s="17">
        <v>710</v>
      </c>
      <c r="B321" s="17" t="s">
        <v>149</v>
      </c>
      <c r="C321" s="17" t="s">
        <v>179</v>
      </c>
      <c r="D321" s="17">
        <v>56</v>
      </c>
      <c r="E321" s="17">
        <v>56</v>
      </c>
      <c r="F321" s="17">
        <v>0</v>
      </c>
      <c r="G321" s="17"/>
      <c r="H321" s="17">
        <v>2</v>
      </c>
      <c r="I321" s="17" t="str">
        <f>INDEX(Products!$C$2:$C$31,MATCH(B321,Products!$A$2:$A$31,0))</f>
        <v>Cultured &amp; Specialty</v>
      </c>
      <c r="J321" s="9">
        <f t="shared" si="4"/>
        <v>7</v>
      </c>
    </row>
    <row r="322" spans="1:10" ht="18" x14ac:dyDescent="0.2">
      <c r="A322" s="17">
        <v>711</v>
      </c>
      <c r="B322" s="17" t="s">
        <v>149</v>
      </c>
      <c r="C322" s="17" t="s">
        <v>180</v>
      </c>
      <c r="D322" s="17">
        <v>56</v>
      </c>
      <c r="E322" s="17">
        <v>56</v>
      </c>
      <c r="F322" s="17">
        <v>0</v>
      </c>
      <c r="G322" s="17"/>
      <c r="H322" s="17">
        <v>2</v>
      </c>
      <c r="I322" s="17" t="str">
        <f>INDEX(Products!$C$2:$C$31,MATCH(B322,Products!$A$2:$A$31,0))</f>
        <v>Cultured &amp; Specialty</v>
      </c>
      <c r="J322" s="9">
        <f t="shared" ref="J322:J385" si="5">INT((DATEVALUE(C322)-DATE(2026,4,6))/7)</f>
        <v>8</v>
      </c>
    </row>
    <row r="323" spans="1:10" ht="18" x14ac:dyDescent="0.2">
      <c r="A323" s="17">
        <v>712</v>
      </c>
      <c r="B323" s="17" t="s">
        <v>149</v>
      </c>
      <c r="C323" s="17" t="s">
        <v>181</v>
      </c>
      <c r="D323" s="17">
        <v>57</v>
      </c>
      <c r="E323" s="17">
        <v>57</v>
      </c>
      <c r="F323" s="17">
        <v>0</v>
      </c>
      <c r="G323" s="17"/>
      <c r="H323" s="17">
        <v>3</v>
      </c>
      <c r="I323" s="17" t="str">
        <f>INDEX(Products!$C$2:$C$31,MATCH(B323,Products!$A$2:$A$31,0))</f>
        <v>Cultured &amp; Specialty</v>
      </c>
      <c r="J323" s="9">
        <f t="shared" si="5"/>
        <v>9</v>
      </c>
    </row>
    <row r="324" spans="1:10" ht="18" x14ac:dyDescent="0.2">
      <c r="A324" s="17">
        <v>713</v>
      </c>
      <c r="B324" s="17" t="s">
        <v>149</v>
      </c>
      <c r="C324" s="17" t="s">
        <v>182</v>
      </c>
      <c r="D324" s="17">
        <v>69</v>
      </c>
      <c r="E324" s="17">
        <v>70</v>
      </c>
      <c r="F324" s="17">
        <v>1</v>
      </c>
      <c r="G324" s="17" t="s">
        <v>172</v>
      </c>
      <c r="H324" s="17">
        <v>4</v>
      </c>
      <c r="I324" s="17" t="str">
        <f>INDEX(Products!$C$2:$C$31,MATCH(B324,Products!$A$2:$A$31,0))</f>
        <v>Cultured &amp; Specialty</v>
      </c>
      <c r="J324" s="9">
        <f t="shared" si="5"/>
        <v>10</v>
      </c>
    </row>
    <row r="325" spans="1:10" ht="18" x14ac:dyDescent="0.2">
      <c r="A325" s="17">
        <v>714</v>
      </c>
      <c r="B325" s="17" t="s">
        <v>149</v>
      </c>
      <c r="C325" s="17" t="s">
        <v>183</v>
      </c>
      <c r="D325" s="17">
        <v>54</v>
      </c>
      <c r="E325" s="17">
        <v>54</v>
      </c>
      <c r="F325" s="17">
        <v>0</v>
      </c>
      <c r="G325" s="17"/>
      <c r="H325" s="17">
        <v>4</v>
      </c>
      <c r="I325" s="17" t="str">
        <f>INDEX(Products!$C$2:$C$31,MATCH(B325,Products!$A$2:$A$31,0))</f>
        <v>Cultured &amp; Specialty</v>
      </c>
      <c r="J325" s="9">
        <f t="shared" si="5"/>
        <v>11</v>
      </c>
    </row>
    <row r="326" spans="1:10" ht="18" x14ac:dyDescent="0.2">
      <c r="A326" s="17">
        <v>715</v>
      </c>
      <c r="B326" s="17" t="s">
        <v>149</v>
      </c>
      <c r="C326" s="17" t="s">
        <v>184</v>
      </c>
      <c r="D326" s="17">
        <v>66</v>
      </c>
      <c r="E326" s="17">
        <v>66</v>
      </c>
      <c r="F326" s="17">
        <v>0</v>
      </c>
      <c r="G326" s="17"/>
      <c r="H326" s="17">
        <v>2</v>
      </c>
      <c r="I326" s="17" t="str">
        <f>INDEX(Products!$C$2:$C$31,MATCH(B326,Products!$A$2:$A$31,0))</f>
        <v>Cultured &amp; Specialty</v>
      </c>
      <c r="J326" s="9">
        <f t="shared" si="5"/>
        <v>12</v>
      </c>
    </row>
    <row r="327" spans="1:10" ht="18" x14ac:dyDescent="0.2">
      <c r="A327" s="17">
        <v>716</v>
      </c>
      <c r="B327" s="17" t="s">
        <v>152</v>
      </c>
      <c r="C327" s="17" t="s">
        <v>171</v>
      </c>
      <c r="D327" s="17">
        <v>60</v>
      </c>
      <c r="E327" s="17">
        <v>60</v>
      </c>
      <c r="F327" s="17">
        <v>0</v>
      </c>
      <c r="G327" s="17"/>
      <c r="H327" s="17">
        <v>3</v>
      </c>
      <c r="I327" s="17" t="str">
        <f>INDEX(Products!$C$2:$C$31,MATCH(B327,Products!$A$2:$A$31,0))</f>
        <v>Cultured &amp; Specialty</v>
      </c>
      <c r="J327" s="9">
        <f t="shared" si="5"/>
        <v>0</v>
      </c>
    </row>
    <row r="328" spans="1:10" ht="18" x14ac:dyDescent="0.2">
      <c r="A328" s="17">
        <v>717</v>
      </c>
      <c r="B328" s="17" t="s">
        <v>152</v>
      </c>
      <c r="C328" s="17" t="s">
        <v>173</v>
      </c>
      <c r="D328" s="17">
        <v>55</v>
      </c>
      <c r="E328" s="17">
        <v>55</v>
      </c>
      <c r="F328" s="17">
        <v>0</v>
      </c>
      <c r="G328" s="17"/>
      <c r="H328" s="17">
        <v>4</v>
      </c>
      <c r="I328" s="17" t="str">
        <f>INDEX(Products!$C$2:$C$31,MATCH(B328,Products!$A$2:$A$31,0))</f>
        <v>Cultured &amp; Specialty</v>
      </c>
      <c r="J328" s="9">
        <f t="shared" si="5"/>
        <v>1</v>
      </c>
    </row>
    <row r="329" spans="1:10" ht="18" x14ac:dyDescent="0.2">
      <c r="A329" s="17">
        <v>718</v>
      </c>
      <c r="B329" s="17" t="s">
        <v>152</v>
      </c>
      <c r="C329" s="17" t="s">
        <v>174</v>
      </c>
      <c r="D329" s="17">
        <v>60</v>
      </c>
      <c r="E329" s="17">
        <v>59</v>
      </c>
      <c r="F329" s="17">
        <v>-1</v>
      </c>
      <c r="G329" s="17" t="s">
        <v>185</v>
      </c>
      <c r="H329" s="17">
        <v>5</v>
      </c>
      <c r="I329" s="17" t="str">
        <f>INDEX(Products!$C$2:$C$31,MATCH(B329,Products!$A$2:$A$31,0))</f>
        <v>Cultured &amp; Specialty</v>
      </c>
      <c r="J329" s="9">
        <f t="shared" si="5"/>
        <v>2</v>
      </c>
    </row>
    <row r="330" spans="1:10" ht="18" x14ac:dyDescent="0.2">
      <c r="A330" s="17">
        <v>719</v>
      </c>
      <c r="B330" s="17" t="s">
        <v>152</v>
      </c>
      <c r="C330" s="17" t="s">
        <v>175</v>
      </c>
      <c r="D330" s="17">
        <v>57</v>
      </c>
      <c r="E330" s="17">
        <v>57</v>
      </c>
      <c r="F330" s="17">
        <v>0</v>
      </c>
      <c r="G330" s="17"/>
      <c r="H330" s="17">
        <v>4</v>
      </c>
      <c r="I330" s="17" t="str">
        <f>INDEX(Products!$C$2:$C$31,MATCH(B330,Products!$A$2:$A$31,0))</f>
        <v>Cultured &amp; Specialty</v>
      </c>
      <c r="J330" s="9">
        <f t="shared" si="5"/>
        <v>3</v>
      </c>
    </row>
    <row r="331" spans="1:10" ht="18" x14ac:dyDescent="0.2">
      <c r="A331" s="17">
        <v>720</v>
      </c>
      <c r="B331" s="17" t="s">
        <v>152</v>
      </c>
      <c r="C331" s="17" t="s">
        <v>176</v>
      </c>
      <c r="D331" s="17">
        <v>69</v>
      </c>
      <c r="E331" s="17">
        <v>69</v>
      </c>
      <c r="F331" s="17">
        <v>0</v>
      </c>
      <c r="G331" s="17"/>
      <c r="H331" s="17">
        <v>5</v>
      </c>
      <c r="I331" s="17" t="str">
        <f>INDEX(Products!$C$2:$C$31,MATCH(B331,Products!$A$2:$A$31,0))</f>
        <v>Cultured &amp; Specialty</v>
      </c>
      <c r="J331" s="9">
        <f t="shared" si="5"/>
        <v>4</v>
      </c>
    </row>
    <row r="332" spans="1:10" ht="18" x14ac:dyDescent="0.2">
      <c r="A332" s="17">
        <v>721</v>
      </c>
      <c r="B332" s="17" t="s">
        <v>152</v>
      </c>
      <c r="C332" s="17" t="s">
        <v>177</v>
      </c>
      <c r="D332" s="17">
        <v>56</v>
      </c>
      <c r="E332" s="17">
        <v>56</v>
      </c>
      <c r="F332" s="17">
        <v>0</v>
      </c>
      <c r="G332" s="17"/>
      <c r="H332" s="17">
        <v>3</v>
      </c>
      <c r="I332" s="17" t="str">
        <f>INDEX(Products!$C$2:$C$31,MATCH(B332,Products!$A$2:$A$31,0))</f>
        <v>Cultured &amp; Specialty</v>
      </c>
      <c r="J332" s="9">
        <f t="shared" si="5"/>
        <v>5</v>
      </c>
    </row>
    <row r="333" spans="1:10" ht="18" x14ac:dyDescent="0.2">
      <c r="A333" s="17">
        <v>722</v>
      </c>
      <c r="B333" s="17" t="s">
        <v>152</v>
      </c>
      <c r="C333" s="17" t="s">
        <v>178</v>
      </c>
      <c r="D333" s="17">
        <v>48</v>
      </c>
      <c r="E333" s="17">
        <v>48</v>
      </c>
      <c r="F333" s="17">
        <v>0</v>
      </c>
      <c r="G333" s="17"/>
      <c r="H333" s="17">
        <v>4</v>
      </c>
      <c r="I333" s="17" t="str">
        <f>INDEX(Products!$C$2:$C$31,MATCH(B333,Products!$A$2:$A$31,0))</f>
        <v>Cultured &amp; Specialty</v>
      </c>
      <c r="J333" s="9">
        <f t="shared" si="5"/>
        <v>6</v>
      </c>
    </row>
    <row r="334" spans="1:10" ht="18" x14ac:dyDescent="0.2">
      <c r="A334" s="17">
        <v>723</v>
      </c>
      <c r="B334" s="17" t="s">
        <v>152</v>
      </c>
      <c r="C334" s="17" t="s">
        <v>179</v>
      </c>
      <c r="D334" s="17">
        <v>36</v>
      </c>
      <c r="E334" s="17">
        <v>36</v>
      </c>
      <c r="F334" s="17">
        <v>0</v>
      </c>
      <c r="G334" s="17"/>
      <c r="H334" s="17">
        <v>1</v>
      </c>
      <c r="I334" s="17" t="str">
        <f>INDEX(Products!$C$2:$C$31,MATCH(B334,Products!$A$2:$A$31,0))</f>
        <v>Cultured &amp; Specialty</v>
      </c>
      <c r="J334" s="9">
        <f t="shared" si="5"/>
        <v>7</v>
      </c>
    </row>
    <row r="335" spans="1:10" ht="18" x14ac:dyDescent="0.2">
      <c r="A335" s="17">
        <v>724</v>
      </c>
      <c r="B335" s="17" t="s">
        <v>152</v>
      </c>
      <c r="C335" s="17" t="s">
        <v>180</v>
      </c>
      <c r="D335" s="17">
        <v>35</v>
      </c>
      <c r="E335" s="17">
        <v>35</v>
      </c>
      <c r="F335" s="17">
        <v>0</v>
      </c>
      <c r="G335" s="17"/>
      <c r="H335" s="17">
        <v>3</v>
      </c>
      <c r="I335" s="17" t="str">
        <f>INDEX(Products!$C$2:$C$31,MATCH(B335,Products!$A$2:$A$31,0))</f>
        <v>Cultured &amp; Specialty</v>
      </c>
      <c r="J335" s="9">
        <f t="shared" si="5"/>
        <v>8</v>
      </c>
    </row>
    <row r="336" spans="1:10" ht="18" x14ac:dyDescent="0.2">
      <c r="A336" s="17">
        <v>725</v>
      </c>
      <c r="B336" s="17" t="s">
        <v>152</v>
      </c>
      <c r="C336" s="17" t="s">
        <v>181</v>
      </c>
      <c r="D336" s="17">
        <v>48</v>
      </c>
      <c r="E336" s="17">
        <v>47</v>
      </c>
      <c r="F336" s="17">
        <v>-1</v>
      </c>
      <c r="G336" s="17" t="s">
        <v>185</v>
      </c>
      <c r="H336" s="17">
        <v>3</v>
      </c>
      <c r="I336" s="17" t="str">
        <f>INDEX(Products!$C$2:$C$31,MATCH(B336,Products!$A$2:$A$31,0))</f>
        <v>Cultured &amp; Specialty</v>
      </c>
      <c r="J336" s="9">
        <f t="shared" si="5"/>
        <v>9</v>
      </c>
    </row>
    <row r="337" spans="1:10" ht="18" x14ac:dyDescent="0.2">
      <c r="A337" s="17">
        <v>726</v>
      </c>
      <c r="B337" s="17" t="s">
        <v>152</v>
      </c>
      <c r="C337" s="17" t="s">
        <v>182</v>
      </c>
      <c r="D337" s="17">
        <v>44</v>
      </c>
      <c r="E337" s="17">
        <v>44</v>
      </c>
      <c r="F337" s="17">
        <v>0</v>
      </c>
      <c r="G337" s="17"/>
      <c r="H337" s="17">
        <v>2</v>
      </c>
      <c r="I337" s="17" t="str">
        <f>INDEX(Products!$C$2:$C$31,MATCH(B337,Products!$A$2:$A$31,0))</f>
        <v>Cultured &amp; Specialty</v>
      </c>
      <c r="J337" s="9">
        <f t="shared" si="5"/>
        <v>10</v>
      </c>
    </row>
    <row r="338" spans="1:10" ht="18" x14ac:dyDescent="0.2">
      <c r="A338" s="17">
        <v>727</v>
      </c>
      <c r="B338" s="17" t="s">
        <v>152</v>
      </c>
      <c r="C338" s="17" t="s">
        <v>183</v>
      </c>
      <c r="D338" s="17">
        <v>36</v>
      </c>
      <c r="E338" s="17">
        <v>36</v>
      </c>
      <c r="F338" s="17">
        <v>0</v>
      </c>
      <c r="G338" s="17"/>
      <c r="H338" s="17">
        <v>5</v>
      </c>
      <c r="I338" s="17" t="str">
        <f>INDEX(Products!$C$2:$C$31,MATCH(B338,Products!$A$2:$A$31,0))</f>
        <v>Cultured &amp; Specialty</v>
      </c>
      <c r="J338" s="9">
        <f t="shared" si="5"/>
        <v>11</v>
      </c>
    </row>
    <row r="339" spans="1:10" ht="18" x14ac:dyDescent="0.2">
      <c r="A339" s="17">
        <v>728</v>
      </c>
      <c r="B339" s="17" t="s">
        <v>152</v>
      </c>
      <c r="C339" s="17" t="s">
        <v>184</v>
      </c>
      <c r="D339" s="17">
        <v>42</v>
      </c>
      <c r="E339" s="17">
        <v>42</v>
      </c>
      <c r="F339" s="17">
        <v>0</v>
      </c>
      <c r="G339" s="17"/>
      <c r="H339" s="17">
        <v>2</v>
      </c>
      <c r="I339" s="17" t="str">
        <f>INDEX(Products!$C$2:$C$31,MATCH(B339,Products!$A$2:$A$31,0))</f>
        <v>Cultured &amp; Specialty</v>
      </c>
      <c r="J339" s="9">
        <f t="shared" si="5"/>
        <v>12</v>
      </c>
    </row>
    <row r="340" spans="1:10" ht="18" x14ac:dyDescent="0.2">
      <c r="A340" s="17">
        <v>729</v>
      </c>
      <c r="B340" s="17" t="s">
        <v>154</v>
      </c>
      <c r="C340" s="17" t="s">
        <v>171</v>
      </c>
      <c r="D340" s="17">
        <v>27</v>
      </c>
      <c r="E340" s="17">
        <v>27</v>
      </c>
      <c r="F340" s="17">
        <v>0</v>
      </c>
      <c r="G340" s="17"/>
      <c r="H340" s="17">
        <v>4</v>
      </c>
      <c r="I340" s="17" t="str">
        <f>INDEX(Products!$C$2:$C$31,MATCH(B340,Products!$A$2:$A$31,0))</f>
        <v>Cultured &amp; Specialty</v>
      </c>
      <c r="J340" s="9">
        <f t="shared" si="5"/>
        <v>0</v>
      </c>
    </row>
    <row r="341" spans="1:10" ht="18" x14ac:dyDescent="0.2">
      <c r="A341" s="17">
        <v>730</v>
      </c>
      <c r="B341" s="17" t="s">
        <v>154</v>
      </c>
      <c r="C341" s="17" t="s">
        <v>173</v>
      </c>
      <c r="D341" s="17">
        <v>31</v>
      </c>
      <c r="E341" s="17">
        <v>31</v>
      </c>
      <c r="F341" s="17">
        <v>0</v>
      </c>
      <c r="G341" s="17"/>
      <c r="H341" s="17">
        <v>4</v>
      </c>
      <c r="I341" s="17" t="str">
        <f>INDEX(Products!$C$2:$C$31,MATCH(B341,Products!$A$2:$A$31,0))</f>
        <v>Cultured &amp; Specialty</v>
      </c>
      <c r="J341" s="9">
        <f t="shared" si="5"/>
        <v>1</v>
      </c>
    </row>
    <row r="342" spans="1:10" ht="18" x14ac:dyDescent="0.2">
      <c r="A342" s="17">
        <v>731</v>
      </c>
      <c r="B342" s="17" t="s">
        <v>154</v>
      </c>
      <c r="C342" s="17" t="s">
        <v>174</v>
      </c>
      <c r="D342" s="17">
        <v>45</v>
      </c>
      <c r="E342" s="17">
        <v>45</v>
      </c>
      <c r="F342" s="17">
        <v>0</v>
      </c>
      <c r="G342" s="17"/>
      <c r="H342" s="17">
        <v>2</v>
      </c>
      <c r="I342" s="17" t="str">
        <f>INDEX(Products!$C$2:$C$31,MATCH(B342,Products!$A$2:$A$31,0))</f>
        <v>Cultured &amp; Specialty</v>
      </c>
      <c r="J342" s="9">
        <f t="shared" si="5"/>
        <v>2</v>
      </c>
    </row>
    <row r="343" spans="1:10" ht="18" x14ac:dyDescent="0.2">
      <c r="A343" s="17">
        <v>732</v>
      </c>
      <c r="B343" s="17" t="s">
        <v>154</v>
      </c>
      <c r="C343" s="17" t="s">
        <v>175</v>
      </c>
      <c r="D343" s="17">
        <v>44</v>
      </c>
      <c r="E343" s="17">
        <v>44</v>
      </c>
      <c r="F343" s="17">
        <v>0</v>
      </c>
      <c r="G343" s="17"/>
      <c r="H343" s="17">
        <v>4</v>
      </c>
      <c r="I343" s="17" t="str">
        <f>INDEX(Products!$C$2:$C$31,MATCH(B343,Products!$A$2:$A$31,0))</f>
        <v>Cultured &amp; Specialty</v>
      </c>
      <c r="J343" s="9">
        <f t="shared" si="5"/>
        <v>3</v>
      </c>
    </row>
    <row r="344" spans="1:10" ht="18" x14ac:dyDescent="0.2">
      <c r="A344" s="17">
        <v>733</v>
      </c>
      <c r="B344" s="17" t="s">
        <v>154</v>
      </c>
      <c r="C344" s="17" t="s">
        <v>176</v>
      </c>
      <c r="D344" s="17">
        <v>37</v>
      </c>
      <c r="E344" s="17">
        <v>37</v>
      </c>
      <c r="F344" s="17">
        <v>0</v>
      </c>
      <c r="G344" s="17"/>
      <c r="H344" s="17">
        <v>4</v>
      </c>
      <c r="I344" s="17" t="str">
        <f>INDEX(Products!$C$2:$C$31,MATCH(B344,Products!$A$2:$A$31,0))</f>
        <v>Cultured &amp; Specialty</v>
      </c>
      <c r="J344" s="9">
        <f t="shared" si="5"/>
        <v>4</v>
      </c>
    </row>
    <row r="345" spans="1:10" ht="18" x14ac:dyDescent="0.2">
      <c r="A345" s="17">
        <v>734</v>
      </c>
      <c r="B345" s="17" t="s">
        <v>154</v>
      </c>
      <c r="C345" s="17" t="s">
        <v>177</v>
      </c>
      <c r="D345" s="17">
        <v>50</v>
      </c>
      <c r="E345" s="17">
        <v>50</v>
      </c>
      <c r="F345" s="17">
        <v>0</v>
      </c>
      <c r="G345" s="17"/>
      <c r="H345" s="17">
        <v>5</v>
      </c>
      <c r="I345" s="17" t="str">
        <f>INDEX(Products!$C$2:$C$31,MATCH(B345,Products!$A$2:$A$31,0))</f>
        <v>Cultured &amp; Specialty</v>
      </c>
      <c r="J345" s="9">
        <f t="shared" si="5"/>
        <v>5</v>
      </c>
    </row>
    <row r="346" spans="1:10" ht="18" x14ac:dyDescent="0.2">
      <c r="A346" s="17">
        <v>735</v>
      </c>
      <c r="B346" s="17" t="s">
        <v>154</v>
      </c>
      <c r="C346" s="17" t="s">
        <v>178</v>
      </c>
      <c r="D346" s="17">
        <v>40</v>
      </c>
      <c r="E346" s="17">
        <v>39</v>
      </c>
      <c r="F346" s="17">
        <v>-1</v>
      </c>
      <c r="G346" s="17" t="s">
        <v>187</v>
      </c>
      <c r="H346" s="17">
        <v>3</v>
      </c>
      <c r="I346" s="17" t="str">
        <f>INDEX(Products!$C$2:$C$31,MATCH(B346,Products!$A$2:$A$31,0))</f>
        <v>Cultured &amp; Specialty</v>
      </c>
      <c r="J346" s="9">
        <f t="shared" si="5"/>
        <v>6</v>
      </c>
    </row>
    <row r="347" spans="1:10" ht="18" x14ac:dyDescent="0.2">
      <c r="A347" s="17">
        <v>736</v>
      </c>
      <c r="B347" s="17" t="s">
        <v>154</v>
      </c>
      <c r="C347" s="17" t="s">
        <v>179</v>
      </c>
      <c r="D347" s="17">
        <v>45</v>
      </c>
      <c r="E347" s="17">
        <v>45</v>
      </c>
      <c r="F347" s="17">
        <v>0</v>
      </c>
      <c r="G347" s="17"/>
      <c r="H347" s="17">
        <v>3</v>
      </c>
      <c r="I347" s="17" t="str">
        <f>INDEX(Products!$C$2:$C$31,MATCH(B347,Products!$A$2:$A$31,0))</f>
        <v>Cultured &amp; Specialty</v>
      </c>
      <c r="J347" s="9">
        <f t="shared" si="5"/>
        <v>7</v>
      </c>
    </row>
    <row r="348" spans="1:10" ht="18" x14ac:dyDescent="0.2">
      <c r="A348" s="17">
        <v>737</v>
      </c>
      <c r="B348" s="17" t="s">
        <v>154</v>
      </c>
      <c r="C348" s="17" t="s">
        <v>180</v>
      </c>
      <c r="D348" s="17">
        <v>44</v>
      </c>
      <c r="E348" s="17">
        <v>44</v>
      </c>
      <c r="F348" s="17">
        <v>0</v>
      </c>
      <c r="G348" s="17"/>
      <c r="H348" s="17">
        <v>2</v>
      </c>
      <c r="I348" s="17" t="str">
        <f>INDEX(Products!$C$2:$C$31,MATCH(B348,Products!$A$2:$A$31,0))</f>
        <v>Cultured &amp; Specialty</v>
      </c>
      <c r="J348" s="9">
        <f t="shared" si="5"/>
        <v>8</v>
      </c>
    </row>
    <row r="349" spans="1:10" ht="18" x14ac:dyDescent="0.2">
      <c r="A349" s="17">
        <v>738</v>
      </c>
      <c r="B349" s="17" t="s">
        <v>154</v>
      </c>
      <c r="C349" s="17" t="s">
        <v>181</v>
      </c>
      <c r="D349" s="17">
        <v>41</v>
      </c>
      <c r="E349" s="17">
        <v>41</v>
      </c>
      <c r="F349" s="17">
        <v>0</v>
      </c>
      <c r="G349" s="17"/>
      <c r="H349" s="17">
        <v>1</v>
      </c>
      <c r="I349" s="17" t="str">
        <f>INDEX(Products!$C$2:$C$31,MATCH(B349,Products!$A$2:$A$31,0))</f>
        <v>Cultured &amp; Specialty</v>
      </c>
      <c r="J349" s="9">
        <f t="shared" si="5"/>
        <v>9</v>
      </c>
    </row>
    <row r="350" spans="1:10" ht="18" x14ac:dyDescent="0.2">
      <c r="A350" s="17">
        <v>739</v>
      </c>
      <c r="B350" s="17" t="s">
        <v>154</v>
      </c>
      <c r="C350" s="17" t="s">
        <v>182</v>
      </c>
      <c r="D350" s="17">
        <v>33</v>
      </c>
      <c r="E350" s="17">
        <v>33</v>
      </c>
      <c r="F350" s="17">
        <v>0</v>
      </c>
      <c r="G350" s="17"/>
      <c r="H350" s="17">
        <v>3</v>
      </c>
      <c r="I350" s="17" t="str">
        <f>INDEX(Products!$C$2:$C$31,MATCH(B350,Products!$A$2:$A$31,0))</f>
        <v>Cultured &amp; Specialty</v>
      </c>
      <c r="J350" s="9">
        <f t="shared" si="5"/>
        <v>10</v>
      </c>
    </row>
    <row r="351" spans="1:10" ht="18" x14ac:dyDescent="0.2">
      <c r="A351" s="17">
        <v>740</v>
      </c>
      <c r="B351" s="17" t="s">
        <v>154</v>
      </c>
      <c r="C351" s="17" t="s">
        <v>183</v>
      </c>
      <c r="D351" s="17">
        <v>36</v>
      </c>
      <c r="E351" s="17">
        <v>36</v>
      </c>
      <c r="F351" s="17">
        <v>0</v>
      </c>
      <c r="G351" s="17"/>
      <c r="H351" s="17">
        <v>3</v>
      </c>
      <c r="I351" s="17" t="str">
        <f>INDEX(Products!$C$2:$C$31,MATCH(B351,Products!$A$2:$A$31,0))</f>
        <v>Cultured &amp; Specialty</v>
      </c>
      <c r="J351" s="9">
        <f t="shared" si="5"/>
        <v>11</v>
      </c>
    </row>
    <row r="352" spans="1:10" ht="18" x14ac:dyDescent="0.2">
      <c r="A352" s="17">
        <v>741</v>
      </c>
      <c r="B352" s="17" t="s">
        <v>154</v>
      </c>
      <c r="C352" s="17" t="s">
        <v>184</v>
      </c>
      <c r="D352" s="17">
        <v>21</v>
      </c>
      <c r="E352" s="17">
        <v>21</v>
      </c>
      <c r="F352" s="17">
        <v>0</v>
      </c>
      <c r="G352" s="17"/>
      <c r="H352" s="17">
        <v>4</v>
      </c>
      <c r="I352" s="17" t="str">
        <f>INDEX(Products!$C$2:$C$31,MATCH(B352,Products!$A$2:$A$31,0))</f>
        <v>Cultured &amp; Specialty</v>
      </c>
      <c r="J352" s="9">
        <f t="shared" si="5"/>
        <v>12</v>
      </c>
    </row>
    <row r="353" spans="1:10" ht="18" x14ac:dyDescent="0.2">
      <c r="A353" s="17">
        <v>742</v>
      </c>
      <c r="B353" s="17" t="s">
        <v>156</v>
      </c>
      <c r="C353" s="17" t="s">
        <v>171</v>
      </c>
      <c r="D353" s="17">
        <v>60</v>
      </c>
      <c r="E353" s="17">
        <v>60</v>
      </c>
      <c r="F353" s="17">
        <v>0</v>
      </c>
      <c r="G353" s="17"/>
      <c r="H353" s="17">
        <v>1</v>
      </c>
      <c r="I353" s="17" t="str">
        <f>INDEX(Products!$C$2:$C$31,MATCH(B353,Products!$A$2:$A$31,0))</f>
        <v>Ice Cream &amp; Frozen</v>
      </c>
      <c r="J353" s="9">
        <f t="shared" si="5"/>
        <v>0</v>
      </c>
    </row>
    <row r="354" spans="1:10" ht="18" x14ac:dyDescent="0.2">
      <c r="A354" s="17">
        <v>743</v>
      </c>
      <c r="B354" s="17" t="s">
        <v>156</v>
      </c>
      <c r="C354" s="17" t="s">
        <v>173</v>
      </c>
      <c r="D354" s="17">
        <v>74</v>
      </c>
      <c r="E354" s="17">
        <v>74</v>
      </c>
      <c r="F354" s="17">
        <v>0</v>
      </c>
      <c r="G354" s="17"/>
      <c r="H354" s="17">
        <v>4</v>
      </c>
      <c r="I354" s="17" t="str">
        <f>INDEX(Products!$C$2:$C$31,MATCH(B354,Products!$A$2:$A$31,0))</f>
        <v>Ice Cream &amp; Frozen</v>
      </c>
      <c r="J354" s="9">
        <f t="shared" si="5"/>
        <v>1</v>
      </c>
    </row>
    <row r="355" spans="1:10" ht="18" x14ac:dyDescent="0.2">
      <c r="A355" s="17">
        <v>744</v>
      </c>
      <c r="B355" s="17" t="s">
        <v>156</v>
      </c>
      <c r="C355" s="17" t="s">
        <v>174</v>
      </c>
      <c r="D355" s="17">
        <v>85</v>
      </c>
      <c r="E355" s="17">
        <v>85</v>
      </c>
      <c r="F355" s="17">
        <v>0</v>
      </c>
      <c r="G355" s="17"/>
      <c r="H355" s="17">
        <v>3</v>
      </c>
      <c r="I355" s="17" t="str">
        <f>INDEX(Products!$C$2:$C$31,MATCH(B355,Products!$A$2:$A$31,0))</f>
        <v>Ice Cream &amp; Frozen</v>
      </c>
      <c r="J355" s="9">
        <f t="shared" si="5"/>
        <v>2</v>
      </c>
    </row>
    <row r="356" spans="1:10" ht="18" x14ac:dyDescent="0.2">
      <c r="A356" s="17">
        <v>745</v>
      </c>
      <c r="B356" s="17" t="s">
        <v>156</v>
      </c>
      <c r="C356" s="17" t="s">
        <v>175</v>
      </c>
      <c r="D356" s="17">
        <v>94</v>
      </c>
      <c r="E356" s="17">
        <v>94</v>
      </c>
      <c r="F356" s="17">
        <v>0</v>
      </c>
      <c r="G356" s="17"/>
      <c r="H356" s="17">
        <v>5</v>
      </c>
      <c r="I356" s="17" t="str">
        <f>INDEX(Products!$C$2:$C$31,MATCH(B356,Products!$A$2:$A$31,0))</f>
        <v>Ice Cream &amp; Frozen</v>
      </c>
      <c r="J356" s="9">
        <f t="shared" si="5"/>
        <v>3</v>
      </c>
    </row>
    <row r="357" spans="1:10" ht="18" x14ac:dyDescent="0.2">
      <c r="A357" s="17">
        <v>746</v>
      </c>
      <c r="B357" s="17" t="s">
        <v>156</v>
      </c>
      <c r="C357" s="17" t="s">
        <v>176</v>
      </c>
      <c r="D357" s="17">
        <v>104</v>
      </c>
      <c r="E357" s="17">
        <v>104</v>
      </c>
      <c r="F357" s="17">
        <v>0</v>
      </c>
      <c r="G357" s="17"/>
      <c r="H357" s="17">
        <v>2</v>
      </c>
      <c r="I357" s="17" t="str">
        <f>INDEX(Products!$C$2:$C$31,MATCH(B357,Products!$A$2:$A$31,0))</f>
        <v>Ice Cream &amp; Frozen</v>
      </c>
      <c r="J357" s="9">
        <f t="shared" si="5"/>
        <v>4</v>
      </c>
    </row>
    <row r="358" spans="1:10" ht="18" x14ac:dyDescent="0.2">
      <c r="A358" s="17">
        <v>747</v>
      </c>
      <c r="B358" s="17" t="s">
        <v>156</v>
      </c>
      <c r="C358" s="17" t="s">
        <v>177</v>
      </c>
      <c r="D358" s="17">
        <v>108</v>
      </c>
      <c r="E358" s="17">
        <v>108</v>
      </c>
      <c r="F358" s="17">
        <v>0</v>
      </c>
      <c r="G358" s="17"/>
      <c r="H358" s="17">
        <v>2</v>
      </c>
      <c r="I358" s="17" t="str">
        <f>INDEX(Products!$C$2:$C$31,MATCH(B358,Products!$A$2:$A$31,0))</f>
        <v>Ice Cream &amp; Frozen</v>
      </c>
      <c r="J358" s="9">
        <f t="shared" si="5"/>
        <v>5</v>
      </c>
    </row>
    <row r="359" spans="1:10" ht="18" x14ac:dyDescent="0.2">
      <c r="A359" s="17">
        <v>748</v>
      </c>
      <c r="B359" s="17" t="s">
        <v>156</v>
      </c>
      <c r="C359" s="17" t="s">
        <v>178</v>
      </c>
      <c r="D359" s="17">
        <v>113</v>
      </c>
      <c r="E359" s="17">
        <v>113</v>
      </c>
      <c r="F359" s="17">
        <v>0</v>
      </c>
      <c r="G359" s="17"/>
      <c r="H359" s="17">
        <v>1</v>
      </c>
      <c r="I359" s="17" t="str">
        <f>INDEX(Products!$C$2:$C$31,MATCH(B359,Products!$A$2:$A$31,0))</f>
        <v>Ice Cream &amp; Frozen</v>
      </c>
      <c r="J359" s="9">
        <f t="shared" si="5"/>
        <v>6</v>
      </c>
    </row>
    <row r="360" spans="1:10" ht="18" x14ac:dyDescent="0.2">
      <c r="A360" s="17">
        <v>749</v>
      </c>
      <c r="B360" s="17" t="s">
        <v>156</v>
      </c>
      <c r="C360" s="17" t="s">
        <v>179</v>
      </c>
      <c r="D360" s="17">
        <v>107</v>
      </c>
      <c r="E360" s="17">
        <v>107</v>
      </c>
      <c r="F360" s="17">
        <v>0</v>
      </c>
      <c r="G360" s="17"/>
      <c r="H360" s="17">
        <v>1</v>
      </c>
      <c r="I360" s="17" t="str">
        <f>INDEX(Products!$C$2:$C$31,MATCH(B360,Products!$A$2:$A$31,0))</f>
        <v>Ice Cream &amp; Frozen</v>
      </c>
      <c r="J360" s="9">
        <f t="shared" si="5"/>
        <v>7</v>
      </c>
    </row>
    <row r="361" spans="1:10" ht="18" x14ac:dyDescent="0.2">
      <c r="A361" s="17">
        <v>750</v>
      </c>
      <c r="B361" s="17" t="s">
        <v>156</v>
      </c>
      <c r="C361" s="17" t="s">
        <v>180</v>
      </c>
      <c r="D361" s="17">
        <v>110</v>
      </c>
      <c r="E361" s="17">
        <v>110</v>
      </c>
      <c r="F361" s="17">
        <v>0</v>
      </c>
      <c r="G361" s="17"/>
      <c r="H361" s="17">
        <v>2</v>
      </c>
      <c r="I361" s="17" t="str">
        <f>INDEX(Products!$C$2:$C$31,MATCH(B361,Products!$A$2:$A$31,0))</f>
        <v>Ice Cream &amp; Frozen</v>
      </c>
      <c r="J361" s="9">
        <f t="shared" si="5"/>
        <v>8</v>
      </c>
    </row>
    <row r="362" spans="1:10" ht="18" x14ac:dyDescent="0.2">
      <c r="A362" s="17">
        <v>751</v>
      </c>
      <c r="B362" s="17" t="s">
        <v>156</v>
      </c>
      <c r="C362" s="17" t="s">
        <v>181</v>
      </c>
      <c r="D362" s="17">
        <v>97</v>
      </c>
      <c r="E362" s="17">
        <v>97</v>
      </c>
      <c r="F362" s="17">
        <v>0</v>
      </c>
      <c r="G362" s="17"/>
      <c r="H362" s="17">
        <v>3</v>
      </c>
      <c r="I362" s="17" t="str">
        <f>INDEX(Products!$C$2:$C$31,MATCH(B362,Products!$A$2:$A$31,0))</f>
        <v>Ice Cream &amp; Frozen</v>
      </c>
      <c r="J362" s="9">
        <f t="shared" si="5"/>
        <v>9</v>
      </c>
    </row>
    <row r="363" spans="1:10" ht="18" x14ac:dyDescent="0.2">
      <c r="A363" s="17">
        <v>752</v>
      </c>
      <c r="B363" s="17" t="s">
        <v>156</v>
      </c>
      <c r="C363" s="17" t="s">
        <v>182</v>
      </c>
      <c r="D363" s="17">
        <v>105</v>
      </c>
      <c r="E363" s="17">
        <v>105</v>
      </c>
      <c r="F363" s="17">
        <v>0</v>
      </c>
      <c r="G363" s="17"/>
      <c r="H363" s="17">
        <v>2</v>
      </c>
      <c r="I363" s="17" t="str">
        <f>INDEX(Products!$C$2:$C$31,MATCH(B363,Products!$A$2:$A$31,0))</f>
        <v>Ice Cream &amp; Frozen</v>
      </c>
      <c r="J363" s="9">
        <f t="shared" si="5"/>
        <v>10</v>
      </c>
    </row>
    <row r="364" spans="1:10" ht="18" x14ac:dyDescent="0.2">
      <c r="A364" s="17">
        <v>753</v>
      </c>
      <c r="B364" s="17" t="s">
        <v>156</v>
      </c>
      <c r="C364" s="17" t="s">
        <v>183</v>
      </c>
      <c r="D364" s="17">
        <v>94</v>
      </c>
      <c r="E364" s="17">
        <v>94</v>
      </c>
      <c r="F364" s="17">
        <v>0</v>
      </c>
      <c r="G364" s="17"/>
      <c r="H364" s="17">
        <v>3</v>
      </c>
      <c r="I364" s="17" t="str">
        <f>INDEX(Products!$C$2:$C$31,MATCH(B364,Products!$A$2:$A$31,0))</f>
        <v>Ice Cream &amp; Frozen</v>
      </c>
      <c r="J364" s="9">
        <f t="shared" si="5"/>
        <v>11</v>
      </c>
    </row>
    <row r="365" spans="1:10" ht="18" x14ac:dyDescent="0.2">
      <c r="A365" s="17">
        <v>754</v>
      </c>
      <c r="B365" s="17" t="s">
        <v>156</v>
      </c>
      <c r="C365" s="17" t="s">
        <v>184</v>
      </c>
      <c r="D365" s="17">
        <v>95</v>
      </c>
      <c r="E365" s="17">
        <v>95</v>
      </c>
      <c r="F365" s="17">
        <v>0</v>
      </c>
      <c r="G365" s="17"/>
      <c r="H365" s="17">
        <v>3</v>
      </c>
      <c r="I365" s="17" t="str">
        <f>INDEX(Products!$C$2:$C$31,MATCH(B365,Products!$A$2:$A$31,0))</f>
        <v>Ice Cream &amp; Frozen</v>
      </c>
      <c r="J365" s="9">
        <f t="shared" si="5"/>
        <v>12</v>
      </c>
    </row>
    <row r="366" spans="1:10" ht="18" x14ac:dyDescent="0.2">
      <c r="A366" s="17">
        <v>755</v>
      </c>
      <c r="B366" s="17" t="s">
        <v>159</v>
      </c>
      <c r="C366" s="17" t="s">
        <v>171</v>
      </c>
      <c r="D366" s="17">
        <v>33</v>
      </c>
      <c r="E366" s="17">
        <v>33</v>
      </c>
      <c r="F366" s="17">
        <v>0</v>
      </c>
      <c r="G366" s="17"/>
      <c r="H366" s="17">
        <v>4</v>
      </c>
      <c r="I366" s="17" t="str">
        <f>INDEX(Products!$C$2:$C$31,MATCH(B366,Products!$A$2:$A$31,0))</f>
        <v>Ice Cream &amp; Frozen</v>
      </c>
      <c r="J366" s="9">
        <f t="shared" si="5"/>
        <v>0</v>
      </c>
    </row>
    <row r="367" spans="1:10" ht="18" x14ac:dyDescent="0.2">
      <c r="A367" s="17">
        <v>756</v>
      </c>
      <c r="B367" s="17" t="s">
        <v>159</v>
      </c>
      <c r="C367" s="17" t="s">
        <v>173</v>
      </c>
      <c r="D367" s="17">
        <v>48</v>
      </c>
      <c r="E367" s="17">
        <v>48</v>
      </c>
      <c r="F367" s="17">
        <v>0</v>
      </c>
      <c r="G367" s="17"/>
      <c r="H367" s="17">
        <v>3</v>
      </c>
      <c r="I367" s="17" t="str">
        <f>INDEX(Products!$C$2:$C$31,MATCH(B367,Products!$A$2:$A$31,0))</f>
        <v>Ice Cream &amp; Frozen</v>
      </c>
      <c r="J367" s="9">
        <f t="shared" si="5"/>
        <v>1</v>
      </c>
    </row>
    <row r="368" spans="1:10" ht="18" x14ac:dyDescent="0.2">
      <c r="A368" s="17">
        <v>757</v>
      </c>
      <c r="B368" s="17" t="s">
        <v>159</v>
      </c>
      <c r="C368" s="17" t="s">
        <v>174</v>
      </c>
      <c r="D368" s="17">
        <v>58</v>
      </c>
      <c r="E368" s="17">
        <v>55</v>
      </c>
      <c r="F368" s="17">
        <v>-3</v>
      </c>
      <c r="G368" s="17" t="s">
        <v>172</v>
      </c>
      <c r="H368" s="17">
        <v>2</v>
      </c>
      <c r="I368" s="17" t="str">
        <f>INDEX(Products!$C$2:$C$31,MATCH(B368,Products!$A$2:$A$31,0))</f>
        <v>Ice Cream &amp; Frozen</v>
      </c>
      <c r="J368" s="9">
        <f t="shared" si="5"/>
        <v>2</v>
      </c>
    </row>
    <row r="369" spans="1:10" ht="18" x14ac:dyDescent="0.2">
      <c r="A369" s="17">
        <v>758</v>
      </c>
      <c r="B369" s="17" t="s">
        <v>159</v>
      </c>
      <c r="C369" s="17" t="s">
        <v>175</v>
      </c>
      <c r="D369" s="17">
        <v>70</v>
      </c>
      <c r="E369" s="17">
        <v>70</v>
      </c>
      <c r="F369" s="17">
        <v>0</v>
      </c>
      <c r="G369" s="17"/>
      <c r="H369" s="17">
        <v>4</v>
      </c>
      <c r="I369" s="17" t="str">
        <f>INDEX(Products!$C$2:$C$31,MATCH(B369,Products!$A$2:$A$31,0))</f>
        <v>Ice Cream &amp; Frozen</v>
      </c>
      <c r="J369" s="9">
        <f t="shared" si="5"/>
        <v>3</v>
      </c>
    </row>
    <row r="370" spans="1:10" ht="18" x14ac:dyDescent="0.2">
      <c r="A370" s="17">
        <v>759</v>
      </c>
      <c r="B370" s="17" t="s">
        <v>159</v>
      </c>
      <c r="C370" s="17" t="s">
        <v>176</v>
      </c>
      <c r="D370" s="17">
        <v>85</v>
      </c>
      <c r="E370" s="17">
        <v>85</v>
      </c>
      <c r="F370" s="17">
        <v>0</v>
      </c>
      <c r="G370" s="17"/>
      <c r="H370" s="17">
        <v>5</v>
      </c>
      <c r="I370" s="17" t="str">
        <f>INDEX(Products!$C$2:$C$31,MATCH(B370,Products!$A$2:$A$31,0))</f>
        <v>Ice Cream &amp; Frozen</v>
      </c>
      <c r="J370" s="9">
        <f t="shared" si="5"/>
        <v>4</v>
      </c>
    </row>
    <row r="371" spans="1:10" ht="18" x14ac:dyDescent="0.2">
      <c r="A371" s="17">
        <v>760</v>
      </c>
      <c r="B371" s="17" t="s">
        <v>159</v>
      </c>
      <c r="C371" s="17" t="s">
        <v>177</v>
      </c>
      <c r="D371" s="17">
        <v>81</v>
      </c>
      <c r="E371" s="17">
        <v>82</v>
      </c>
      <c r="F371" s="17">
        <v>1</v>
      </c>
      <c r="G371" s="17" t="s">
        <v>172</v>
      </c>
      <c r="H371" s="17">
        <v>5</v>
      </c>
      <c r="I371" s="17" t="str">
        <f>INDEX(Products!$C$2:$C$31,MATCH(B371,Products!$A$2:$A$31,0))</f>
        <v>Ice Cream &amp; Frozen</v>
      </c>
      <c r="J371" s="9">
        <f t="shared" si="5"/>
        <v>5</v>
      </c>
    </row>
    <row r="372" spans="1:10" ht="18" x14ac:dyDescent="0.2">
      <c r="A372" s="17">
        <v>761</v>
      </c>
      <c r="B372" s="17" t="s">
        <v>159</v>
      </c>
      <c r="C372" s="17" t="s">
        <v>178</v>
      </c>
      <c r="D372" s="17">
        <v>69</v>
      </c>
      <c r="E372" s="17">
        <v>69</v>
      </c>
      <c r="F372" s="17">
        <v>0</v>
      </c>
      <c r="G372" s="17"/>
      <c r="H372" s="17">
        <v>3</v>
      </c>
      <c r="I372" s="17" t="str">
        <f>INDEX(Products!$C$2:$C$31,MATCH(B372,Products!$A$2:$A$31,0))</f>
        <v>Ice Cream &amp; Frozen</v>
      </c>
      <c r="J372" s="9">
        <f t="shared" si="5"/>
        <v>6</v>
      </c>
    </row>
    <row r="373" spans="1:10" ht="18" x14ac:dyDescent="0.2">
      <c r="A373" s="17">
        <v>762</v>
      </c>
      <c r="B373" s="17" t="s">
        <v>159</v>
      </c>
      <c r="C373" s="17" t="s">
        <v>179</v>
      </c>
      <c r="D373" s="17">
        <v>72</v>
      </c>
      <c r="E373" s="17">
        <v>72</v>
      </c>
      <c r="F373" s="17">
        <v>0</v>
      </c>
      <c r="G373" s="17"/>
      <c r="H373" s="17">
        <v>3</v>
      </c>
      <c r="I373" s="17" t="str">
        <f>INDEX(Products!$C$2:$C$31,MATCH(B373,Products!$A$2:$A$31,0))</f>
        <v>Ice Cream &amp; Frozen</v>
      </c>
      <c r="J373" s="9">
        <f t="shared" si="5"/>
        <v>7</v>
      </c>
    </row>
    <row r="374" spans="1:10" ht="18" x14ac:dyDescent="0.2">
      <c r="A374" s="17">
        <v>763</v>
      </c>
      <c r="B374" s="17" t="s">
        <v>159</v>
      </c>
      <c r="C374" s="17" t="s">
        <v>180</v>
      </c>
      <c r="D374" s="17">
        <v>60</v>
      </c>
      <c r="E374" s="17">
        <v>60</v>
      </c>
      <c r="F374" s="17">
        <v>0</v>
      </c>
      <c r="G374" s="17"/>
      <c r="H374" s="17">
        <v>4</v>
      </c>
      <c r="I374" s="17" t="str">
        <f>INDEX(Products!$C$2:$C$31,MATCH(B374,Products!$A$2:$A$31,0))</f>
        <v>Ice Cream &amp; Frozen</v>
      </c>
      <c r="J374" s="9">
        <f t="shared" si="5"/>
        <v>8</v>
      </c>
    </row>
    <row r="375" spans="1:10" ht="18" x14ac:dyDescent="0.2">
      <c r="A375" s="17">
        <v>764</v>
      </c>
      <c r="B375" s="17" t="s">
        <v>159</v>
      </c>
      <c r="C375" s="17" t="s">
        <v>181</v>
      </c>
      <c r="D375" s="17">
        <v>45</v>
      </c>
      <c r="E375" s="17">
        <v>45</v>
      </c>
      <c r="F375" s="17">
        <v>0</v>
      </c>
      <c r="G375" s="17"/>
      <c r="H375" s="17">
        <v>5</v>
      </c>
      <c r="I375" s="17" t="str">
        <f>INDEX(Products!$C$2:$C$31,MATCH(B375,Products!$A$2:$A$31,0))</f>
        <v>Ice Cream &amp; Frozen</v>
      </c>
      <c r="J375" s="9">
        <f t="shared" si="5"/>
        <v>9</v>
      </c>
    </row>
    <row r="376" spans="1:10" ht="18" x14ac:dyDescent="0.2">
      <c r="A376" s="17">
        <v>765</v>
      </c>
      <c r="B376" s="17" t="s">
        <v>159</v>
      </c>
      <c r="C376" s="17" t="s">
        <v>182</v>
      </c>
      <c r="D376" s="17">
        <v>40</v>
      </c>
      <c r="E376" s="17">
        <v>40</v>
      </c>
      <c r="F376" s="17">
        <v>0</v>
      </c>
      <c r="G376" s="17"/>
      <c r="H376" s="17">
        <v>2</v>
      </c>
      <c r="I376" s="17" t="str">
        <f>INDEX(Products!$C$2:$C$31,MATCH(B376,Products!$A$2:$A$31,0))</f>
        <v>Ice Cream &amp; Frozen</v>
      </c>
      <c r="J376" s="9">
        <f t="shared" si="5"/>
        <v>10</v>
      </c>
    </row>
    <row r="377" spans="1:10" ht="18" x14ac:dyDescent="0.2">
      <c r="A377" s="17">
        <v>766</v>
      </c>
      <c r="B377" s="17" t="s">
        <v>159</v>
      </c>
      <c r="C377" s="17" t="s">
        <v>183</v>
      </c>
      <c r="D377" s="17">
        <v>45</v>
      </c>
      <c r="E377" s="17">
        <v>46</v>
      </c>
      <c r="F377" s="17">
        <v>1</v>
      </c>
      <c r="G377" s="17" t="s">
        <v>187</v>
      </c>
      <c r="H377" s="17">
        <v>3</v>
      </c>
      <c r="I377" s="17" t="str">
        <f>INDEX(Products!$C$2:$C$31,MATCH(B377,Products!$A$2:$A$31,0))</f>
        <v>Ice Cream &amp; Frozen</v>
      </c>
      <c r="J377" s="9">
        <f t="shared" si="5"/>
        <v>11</v>
      </c>
    </row>
    <row r="378" spans="1:10" ht="18" x14ac:dyDescent="0.2">
      <c r="A378" s="17">
        <v>767</v>
      </c>
      <c r="B378" s="17" t="s">
        <v>159</v>
      </c>
      <c r="C378" s="17" t="s">
        <v>184</v>
      </c>
      <c r="D378" s="17">
        <v>50</v>
      </c>
      <c r="E378" s="17">
        <v>50</v>
      </c>
      <c r="F378" s="17">
        <v>0</v>
      </c>
      <c r="G378" s="17"/>
      <c r="H378" s="17">
        <v>2</v>
      </c>
      <c r="I378" s="17" t="str">
        <f>INDEX(Products!$C$2:$C$31,MATCH(B378,Products!$A$2:$A$31,0))</f>
        <v>Ice Cream &amp; Frozen</v>
      </c>
      <c r="J378" s="9">
        <f t="shared" si="5"/>
        <v>12</v>
      </c>
    </row>
    <row r="379" spans="1:10" ht="18" x14ac:dyDescent="0.2">
      <c r="A379" s="17">
        <v>768</v>
      </c>
      <c r="B379" s="17" t="s">
        <v>161</v>
      </c>
      <c r="C379" s="17" t="s">
        <v>171</v>
      </c>
      <c r="D379" s="17">
        <v>55</v>
      </c>
      <c r="E379" s="17">
        <v>56</v>
      </c>
      <c r="F379" s="17">
        <v>1</v>
      </c>
      <c r="G379" s="17" t="s">
        <v>172</v>
      </c>
      <c r="H379" s="17">
        <v>2</v>
      </c>
      <c r="I379" s="17" t="str">
        <f>INDEX(Products!$C$2:$C$31,MATCH(B379,Products!$A$2:$A$31,0))</f>
        <v>Ice Cream &amp; Frozen</v>
      </c>
      <c r="J379" s="9">
        <f t="shared" si="5"/>
        <v>0</v>
      </c>
    </row>
    <row r="380" spans="1:10" ht="18" x14ac:dyDescent="0.2">
      <c r="A380" s="17">
        <v>769</v>
      </c>
      <c r="B380" s="17" t="s">
        <v>161</v>
      </c>
      <c r="C380" s="17" t="s">
        <v>173</v>
      </c>
      <c r="D380" s="17">
        <v>68</v>
      </c>
      <c r="E380" s="17">
        <v>68</v>
      </c>
      <c r="F380" s="17">
        <v>0</v>
      </c>
      <c r="G380" s="17"/>
      <c r="H380" s="17">
        <v>4</v>
      </c>
      <c r="I380" s="17" t="str">
        <f>INDEX(Products!$C$2:$C$31,MATCH(B380,Products!$A$2:$A$31,0))</f>
        <v>Ice Cream &amp; Frozen</v>
      </c>
      <c r="J380" s="9">
        <f t="shared" si="5"/>
        <v>1</v>
      </c>
    </row>
    <row r="381" spans="1:10" ht="18" x14ac:dyDescent="0.2">
      <c r="A381" s="17">
        <v>770</v>
      </c>
      <c r="B381" s="17" t="s">
        <v>161</v>
      </c>
      <c r="C381" s="17" t="s">
        <v>174</v>
      </c>
      <c r="D381" s="17">
        <v>67</v>
      </c>
      <c r="E381" s="17">
        <v>67</v>
      </c>
      <c r="F381" s="17">
        <v>0</v>
      </c>
      <c r="G381" s="17"/>
      <c r="H381" s="17">
        <v>5</v>
      </c>
      <c r="I381" s="17" t="str">
        <f>INDEX(Products!$C$2:$C$31,MATCH(B381,Products!$A$2:$A$31,0))</f>
        <v>Ice Cream &amp; Frozen</v>
      </c>
      <c r="J381" s="9">
        <f t="shared" si="5"/>
        <v>2</v>
      </c>
    </row>
    <row r="382" spans="1:10" ht="18" x14ac:dyDescent="0.2">
      <c r="A382" s="17">
        <v>771</v>
      </c>
      <c r="B382" s="17" t="s">
        <v>161</v>
      </c>
      <c r="C382" s="17" t="s">
        <v>175</v>
      </c>
      <c r="D382" s="17">
        <v>65</v>
      </c>
      <c r="E382" s="17">
        <v>65</v>
      </c>
      <c r="F382" s="17">
        <v>0</v>
      </c>
      <c r="G382" s="17"/>
      <c r="H382" s="17">
        <v>2</v>
      </c>
      <c r="I382" s="17" t="str">
        <f>INDEX(Products!$C$2:$C$31,MATCH(B382,Products!$A$2:$A$31,0))</f>
        <v>Ice Cream &amp; Frozen</v>
      </c>
      <c r="J382" s="9">
        <f t="shared" si="5"/>
        <v>3</v>
      </c>
    </row>
    <row r="383" spans="1:10" ht="18" x14ac:dyDescent="0.2">
      <c r="A383" s="17">
        <v>772</v>
      </c>
      <c r="B383" s="17" t="s">
        <v>161</v>
      </c>
      <c r="C383" s="17" t="s">
        <v>176</v>
      </c>
      <c r="D383" s="17">
        <v>78</v>
      </c>
      <c r="E383" s="17">
        <v>78</v>
      </c>
      <c r="F383" s="17">
        <v>0</v>
      </c>
      <c r="G383" s="17"/>
      <c r="H383" s="17">
        <v>1</v>
      </c>
      <c r="I383" s="17" t="str">
        <f>INDEX(Products!$C$2:$C$31,MATCH(B383,Products!$A$2:$A$31,0))</f>
        <v>Ice Cream &amp; Frozen</v>
      </c>
      <c r="J383" s="9">
        <f t="shared" si="5"/>
        <v>4</v>
      </c>
    </row>
    <row r="384" spans="1:10" ht="18" x14ac:dyDescent="0.2">
      <c r="A384" s="17">
        <v>773</v>
      </c>
      <c r="B384" s="17" t="s">
        <v>161</v>
      </c>
      <c r="C384" s="17" t="s">
        <v>177</v>
      </c>
      <c r="D384" s="17">
        <v>89</v>
      </c>
      <c r="E384" s="17">
        <v>89</v>
      </c>
      <c r="F384" s="17">
        <v>0</v>
      </c>
      <c r="G384" s="17"/>
      <c r="H384" s="17">
        <v>4</v>
      </c>
      <c r="I384" s="17" t="str">
        <f>INDEX(Products!$C$2:$C$31,MATCH(B384,Products!$A$2:$A$31,0))</f>
        <v>Ice Cream &amp; Frozen</v>
      </c>
      <c r="J384" s="9">
        <f t="shared" si="5"/>
        <v>5</v>
      </c>
    </row>
    <row r="385" spans="1:10" ht="18" x14ac:dyDescent="0.2">
      <c r="A385" s="17">
        <v>774</v>
      </c>
      <c r="B385" s="17" t="s">
        <v>161</v>
      </c>
      <c r="C385" s="17" t="s">
        <v>178</v>
      </c>
      <c r="D385" s="17">
        <v>104</v>
      </c>
      <c r="E385" s="17">
        <v>104</v>
      </c>
      <c r="F385" s="17">
        <v>0</v>
      </c>
      <c r="G385" s="17"/>
      <c r="H385" s="17">
        <v>1</v>
      </c>
      <c r="I385" s="17" t="str">
        <f>INDEX(Products!$C$2:$C$31,MATCH(B385,Products!$A$2:$A$31,0))</f>
        <v>Ice Cream &amp; Frozen</v>
      </c>
      <c r="J385" s="9">
        <f t="shared" si="5"/>
        <v>6</v>
      </c>
    </row>
    <row r="386" spans="1:10" ht="18" x14ac:dyDescent="0.2">
      <c r="A386" s="17">
        <v>775</v>
      </c>
      <c r="B386" s="17" t="s">
        <v>161</v>
      </c>
      <c r="C386" s="17" t="s">
        <v>179</v>
      </c>
      <c r="D386" s="17">
        <v>111</v>
      </c>
      <c r="E386" s="17">
        <v>111</v>
      </c>
      <c r="F386" s="17">
        <v>0</v>
      </c>
      <c r="G386" s="17"/>
      <c r="H386" s="17">
        <v>4</v>
      </c>
      <c r="I386" s="17" t="str">
        <f>INDEX(Products!$C$2:$C$31,MATCH(B386,Products!$A$2:$A$31,0))</f>
        <v>Ice Cream &amp; Frozen</v>
      </c>
      <c r="J386" s="9">
        <f t="shared" ref="J386:J391" si="6">INT((DATEVALUE(C386)-DATE(2026,4,6))/7)</f>
        <v>7</v>
      </c>
    </row>
    <row r="387" spans="1:10" ht="18" x14ac:dyDescent="0.2">
      <c r="A387" s="17">
        <v>776</v>
      </c>
      <c r="B387" s="17" t="s">
        <v>161</v>
      </c>
      <c r="C387" s="17" t="s">
        <v>180</v>
      </c>
      <c r="D387" s="17">
        <v>110</v>
      </c>
      <c r="E387" s="17">
        <v>110</v>
      </c>
      <c r="F387" s="17">
        <v>0</v>
      </c>
      <c r="G387" s="17"/>
      <c r="H387" s="17">
        <v>3</v>
      </c>
      <c r="I387" s="17" t="str">
        <f>INDEX(Products!$C$2:$C$31,MATCH(B387,Products!$A$2:$A$31,0))</f>
        <v>Ice Cream &amp; Frozen</v>
      </c>
      <c r="J387" s="9">
        <f t="shared" si="6"/>
        <v>8</v>
      </c>
    </row>
    <row r="388" spans="1:10" ht="18" x14ac:dyDescent="0.2">
      <c r="A388" s="17">
        <v>777</v>
      </c>
      <c r="B388" s="17" t="s">
        <v>161</v>
      </c>
      <c r="C388" s="17" t="s">
        <v>181</v>
      </c>
      <c r="D388" s="17">
        <v>98</v>
      </c>
      <c r="E388" s="17">
        <v>98</v>
      </c>
      <c r="F388" s="17">
        <v>0</v>
      </c>
      <c r="G388" s="17"/>
      <c r="H388" s="17">
        <v>3</v>
      </c>
      <c r="I388" s="17" t="str">
        <f>INDEX(Products!$C$2:$C$31,MATCH(B388,Products!$A$2:$A$31,0))</f>
        <v>Ice Cream &amp; Frozen</v>
      </c>
      <c r="J388" s="9">
        <f t="shared" si="6"/>
        <v>9</v>
      </c>
    </row>
    <row r="389" spans="1:10" ht="18" x14ac:dyDescent="0.2">
      <c r="A389" s="17">
        <v>778</v>
      </c>
      <c r="B389" s="17" t="s">
        <v>161</v>
      </c>
      <c r="C389" s="17" t="s">
        <v>182</v>
      </c>
      <c r="D389" s="17">
        <v>100</v>
      </c>
      <c r="E389" s="17">
        <v>100</v>
      </c>
      <c r="F389" s="17">
        <v>0</v>
      </c>
      <c r="G389" s="17"/>
      <c r="H389" s="17">
        <v>3</v>
      </c>
      <c r="I389" s="17" t="str">
        <f>INDEX(Products!$C$2:$C$31,MATCH(B389,Products!$A$2:$A$31,0))</f>
        <v>Ice Cream &amp; Frozen</v>
      </c>
      <c r="J389" s="9">
        <f t="shared" si="6"/>
        <v>10</v>
      </c>
    </row>
    <row r="390" spans="1:10" ht="18" x14ac:dyDescent="0.2">
      <c r="A390" s="17">
        <v>779</v>
      </c>
      <c r="B390" s="17" t="s">
        <v>161</v>
      </c>
      <c r="C390" s="17" t="s">
        <v>183</v>
      </c>
      <c r="D390" s="17">
        <v>86</v>
      </c>
      <c r="E390" s="17">
        <v>86</v>
      </c>
      <c r="F390" s="17">
        <v>0</v>
      </c>
      <c r="G390" s="17"/>
      <c r="H390" s="17">
        <v>2</v>
      </c>
      <c r="I390" s="17" t="str">
        <f>INDEX(Products!$C$2:$C$31,MATCH(B390,Products!$A$2:$A$31,0))</f>
        <v>Ice Cream &amp; Frozen</v>
      </c>
      <c r="J390" s="9">
        <f t="shared" si="6"/>
        <v>11</v>
      </c>
    </row>
    <row r="391" spans="1:10" ht="18" x14ac:dyDescent="0.2">
      <c r="A391" s="17">
        <v>780</v>
      </c>
      <c r="B391" s="17" t="s">
        <v>161</v>
      </c>
      <c r="C391" s="17" t="s">
        <v>184</v>
      </c>
      <c r="D391" s="17">
        <v>101</v>
      </c>
      <c r="E391" s="17">
        <v>101</v>
      </c>
      <c r="F391" s="17">
        <v>0</v>
      </c>
      <c r="G391" s="17"/>
      <c r="H391" s="17">
        <v>4</v>
      </c>
      <c r="I391" s="17" t="str">
        <f>INDEX(Products!$C$2:$C$31,MATCH(B391,Products!$A$2:$A$31,0))</f>
        <v>Ice Cream &amp; Frozen</v>
      </c>
      <c r="J391" s="9">
        <f t="shared" si="6"/>
        <v>12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zoomScaleNormal="100" workbookViewId="0">
      <pane ySplit="1" topLeftCell="A9" activePane="bottomLeft" state="frozen"/>
      <selection pane="bottomLeft" activeCell="B10" sqref="B10"/>
    </sheetView>
  </sheetViews>
  <sheetFormatPr baseColWidth="10" defaultColWidth="8.6640625" defaultRowHeight="19" x14ac:dyDescent="0.25"/>
  <cols>
    <col min="1" max="4" width="41.33203125" style="15" customWidth="1"/>
  </cols>
  <sheetData>
    <row r="1" spans="1:4" ht="18" x14ac:dyDescent="0.2">
      <c r="A1" s="16" t="s">
        <v>188</v>
      </c>
      <c r="B1" s="16" t="s">
        <v>189</v>
      </c>
      <c r="C1" s="16" t="s">
        <v>190</v>
      </c>
      <c r="D1" s="16" t="s">
        <v>191</v>
      </c>
    </row>
    <row r="2" spans="1:4" ht="18" x14ac:dyDescent="0.2">
      <c r="A2" s="17">
        <v>13</v>
      </c>
      <c r="B2" s="17" t="s">
        <v>192</v>
      </c>
      <c r="C2" s="17">
        <v>14</v>
      </c>
      <c r="D2" s="17" t="s">
        <v>193</v>
      </c>
    </row>
    <row r="3" spans="1:4" ht="18" x14ac:dyDescent="0.2">
      <c r="A3" s="17">
        <v>14</v>
      </c>
      <c r="B3" s="17" t="s">
        <v>194</v>
      </c>
      <c r="C3" s="17">
        <v>10</v>
      </c>
      <c r="D3" s="17" t="s">
        <v>195</v>
      </c>
    </row>
    <row r="4" spans="1:4" ht="18" x14ac:dyDescent="0.2">
      <c r="A4" s="17">
        <v>15</v>
      </c>
      <c r="B4" s="17" t="s">
        <v>196</v>
      </c>
      <c r="C4" s="17">
        <v>7</v>
      </c>
      <c r="D4" s="17" t="s">
        <v>197</v>
      </c>
    </row>
    <row r="5" spans="1:4" ht="18" x14ac:dyDescent="0.2">
      <c r="A5" s="17">
        <v>16</v>
      </c>
      <c r="B5" s="17" t="s">
        <v>198</v>
      </c>
      <c r="C5" s="17">
        <v>12</v>
      </c>
      <c r="D5" s="17" t="s">
        <v>199</v>
      </c>
    </row>
    <row r="6" spans="1:4" ht="18" x14ac:dyDescent="0.2">
      <c r="A6" s="17">
        <v>17</v>
      </c>
      <c r="B6" s="17" t="s">
        <v>200</v>
      </c>
      <c r="C6" s="17">
        <v>9</v>
      </c>
      <c r="D6" s="17" t="s">
        <v>201</v>
      </c>
    </row>
    <row r="7" spans="1:4" ht="18" x14ac:dyDescent="0.2">
      <c r="A7" s="17">
        <v>18</v>
      </c>
      <c r="B7" s="17" t="s">
        <v>202</v>
      </c>
      <c r="C7" s="17">
        <v>5</v>
      </c>
      <c r="D7" s="17" t="s">
        <v>203</v>
      </c>
    </row>
    <row r="8" spans="1:4" ht="18" x14ac:dyDescent="0.2">
      <c r="A8" s="17">
        <v>19</v>
      </c>
      <c r="B8" s="17" t="s">
        <v>204</v>
      </c>
      <c r="C8" s="17">
        <v>11</v>
      </c>
      <c r="D8" s="17" t="s">
        <v>205</v>
      </c>
    </row>
    <row r="9" spans="1:4" ht="18" x14ac:dyDescent="0.2">
      <c r="A9" s="17">
        <v>20</v>
      </c>
      <c r="B9" s="17" t="s">
        <v>206</v>
      </c>
      <c r="C9" s="17">
        <v>8</v>
      </c>
      <c r="D9" s="17" t="s">
        <v>207</v>
      </c>
    </row>
    <row r="10" spans="1:4" ht="18" x14ac:dyDescent="0.2">
      <c r="A10" s="17">
        <v>21</v>
      </c>
      <c r="B10" s="17" t="s">
        <v>208</v>
      </c>
      <c r="C10" s="17">
        <v>6</v>
      </c>
      <c r="D10" s="17" t="s">
        <v>209</v>
      </c>
    </row>
    <row r="11" spans="1:4" ht="18" x14ac:dyDescent="0.2">
      <c r="A11" s="17">
        <v>22</v>
      </c>
      <c r="B11" s="17" t="s">
        <v>210</v>
      </c>
      <c r="C11" s="17">
        <v>13</v>
      </c>
      <c r="D11" s="17" t="s">
        <v>211</v>
      </c>
    </row>
    <row r="12" spans="1:4" ht="18" x14ac:dyDescent="0.2">
      <c r="A12" s="17">
        <v>23</v>
      </c>
      <c r="B12" s="17" t="s">
        <v>212</v>
      </c>
      <c r="C12" s="17">
        <v>9</v>
      </c>
      <c r="D12" s="17" t="s">
        <v>213</v>
      </c>
    </row>
    <row r="13" spans="1:4" ht="18" x14ac:dyDescent="0.2">
      <c r="A13" s="17">
        <v>24</v>
      </c>
      <c r="B13" s="17" t="s">
        <v>214</v>
      </c>
      <c r="C13" s="17">
        <v>4</v>
      </c>
      <c r="D13" s="17" t="s">
        <v>215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6"/>
  <sheetViews>
    <sheetView zoomScaleNormal="100" workbookViewId="0">
      <pane ySplit="1" topLeftCell="A2" activePane="bottomLeft" state="frozen"/>
      <selection pane="bottomLeft" activeCell="D2" sqref="D2"/>
    </sheetView>
  </sheetViews>
  <sheetFormatPr baseColWidth="10" defaultColWidth="8.6640625" defaultRowHeight="19" x14ac:dyDescent="0.25"/>
  <cols>
    <col min="1" max="3" width="25.6640625" style="15" customWidth="1"/>
    <col min="4" max="4" width="28.6640625" style="15" customWidth="1"/>
    <col min="5" max="17" width="25.6640625" style="15" customWidth="1"/>
  </cols>
  <sheetData>
    <row r="1" spans="1:16" x14ac:dyDescent="0.25">
      <c r="A1" s="16" t="s">
        <v>216</v>
      </c>
      <c r="B1" s="16" t="s">
        <v>217</v>
      </c>
      <c r="C1" s="16" t="s">
        <v>188</v>
      </c>
      <c r="D1" s="16" t="s">
        <v>83</v>
      </c>
      <c r="E1" s="16" t="s">
        <v>218</v>
      </c>
      <c r="F1" s="16" t="s">
        <v>219</v>
      </c>
      <c r="G1" s="16" t="s">
        <v>220</v>
      </c>
      <c r="H1" s="16" t="s">
        <v>221</v>
      </c>
      <c r="I1" s="16" t="s">
        <v>222</v>
      </c>
      <c r="J1" s="16" t="s">
        <v>223</v>
      </c>
      <c r="K1" s="16" t="s">
        <v>224</v>
      </c>
      <c r="L1" s="16" t="s">
        <v>189</v>
      </c>
      <c r="M1" s="16" t="s">
        <v>225</v>
      </c>
      <c r="N1" s="16" t="s">
        <v>226</v>
      </c>
      <c r="O1" s="16" t="s">
        <v>227</v>
      </c>
      <c r="P1" s="16" t="s">
        <v>228</v>
      </c>
    </row>
    <row r="2" spans="1:16" x14ac:dyDescent="0.25">
      <c r="A2" s="17">
        <v>196</v>
      </c>
      <c r="B2" s="17" t="s">
        <v>229</v>
      </c>
      <c r="C2" s="17">
        <v>15</v>
      </c>
      <c r="D2" s="17" t="s">
        <v>123</v>
      </c>
      <c r="E2" s="17" t="s">
        <v>173</v>
      </c>
      <c r="F2" s="17" t="s">
        <v>173</v>
      </c>
      <c r="G2" s="17">
        <v>103</v>
      </c>
      <c r="H2" s="17">
        <v>103</v>
      </c>
      <c r="I2" s="17">
        <v>2347.4</v>
      </c>
      <c r="J2" s="17">
        <v>2308.5</v>
      </c>
      <c r="K2" s="17" t="s">
        <v>230</v>
      </c>
      <c r="L2" s="17" t="str">
        <f>INDEX(Vendors!$B$2:$B$13,MATCH(C2,Vendors!$A$2:$A$13,0))</f>
        <v>Heritage Farms Dairy</v>
      </c>
      <c r="M2" s="18">
        <f t="shared" ref="M2:M33" si="0">IF(F2&lt;=E2,1,0)</f>
        <v>1</v>
      </c>
      <c r="N2" s="18">
        <f t="shared" ref="N2:N33" si="1">IF(H2=G2,1,0)</f>
        <v>1</v>
      </c>
      <c r="O2" s="19">
        <f t="shared" ref="O2:O33" si="2">IF(I2=0,0,(J2-I2)/I2)</f>
        <v>-1.6571525943597211E-2</v>
      </c>
      <c r="P2" s="18">
        <f t="shared" ref="P2:P33" si="3">INT((DATEVALUE(E2)-DATE(2026,4,6))/7)</f>
        <v>1</v>
      </c>
    </row>
    <row r="3" spans="1:16" x14ac:dyDescent="0.25">
      <c r="A3" s="17">
        <v>197</v>
      </c>
      <c r="B3" s="17" t="s">
        <v>231</v>
      </c>
      <c r="C3" s="17">
        <v>19</v>
      </c>
      <c r="D3" s="17" t="s">
        <v>100</v>
      </c>
      <c r="E3" s="17" t="s">
        <v>232</v>
      </c>
      <c r="F3" s="17" t="s">
        <v>233</v>
      </c>
      <c r="G3" s="17">
        <v>25</v>
      </c>
      <c r="H3" s="17">
        <v>25</v>
      </c>
      <c r="I3" s="17">
        <v>88.2</v>
      </c>
      <c r="J3" s="17">
        <v>88.6</v>
      </c>
      <c r="K3" s="17" t="s">
        <v>234</v>
      </c>
      <c r="L3" s="17" t="str">
        <f>INDEX(Vendors!$B$2:$B$13,MATCH(C3,Vendors!$A$2:$A$13,0))</f>
        <v>Northfield Dairy Ingredients</v>
      </c>
      <c r="M3" s="18">
        <f t="shared" si="0"/>
        <v>1</v>
      </c>
      <c r="N3" s="18">
        <f t="shared" si="1"/>
        <v>1</v>
      </c>
      <c r="O3" s="19">
        <f t="shared" si="2"/>
        <v>4.5351473922901524E-3</v>
      </c>
      <c r="P3" s="18">
        <f t="shared" si="3"/>
        <v>1</v>
      </c>
    </row>
    <row r="4" spans="1:16" x14ac:dyDescent="0.25">
      <c r="A4" s="17">
        <v>198</v>
      </c>
      <c r="B4" s="17" t="s">
        <v>235</v>
      </c>
      <c r="C4" s="17">
        <v>13</v>
      </c>
      <c r="D4" s="17" t="s">
        <v>136</v>
      </c>
      <c r="E4" s="17" t="s">
        <v>236</v>
      </c>
      <c r="F4" s="17" t="s">
        <v>236</v>
      </c>
      <c r="G4" s="17">
        <v>21</v>
      </c>
      <c r="H4" s="17">
        <v>21</v>
      </c>
      <c r="I4" s="17">
        <v>79</v>
      </c>
      <c r="J4" s="17">
        <v>79.099999999999994</v>
      </c>
      <c r="K4" s="17" t="s">
        <v>237</v>
      </c>
      <c r="L4" s="17" t="str">
        <f>INDEX(Vendors!$B$2:$B$13,MATCH(C4,Vendors!$A$2:$A$13,0))</f>
        <v>Meadowbrook Dairy Co-op</v>
      </c>
      <c r="M4" s="18">
        <f t="shared" si="0"/>
        <v>1</v>
      </c>
      <c r="N4" s="18">
        <f t="shared" si="1"/>
        <v>1</v>
      </c>
      <c r="O4" s="19">
        <f t="shared" si="2"/>
        <v>1.2658227848100546E-3</v>
      </c>
      <c r="P4" s="18">
        <f t="shared" si="3"/>
        <v>2</v>
      </c>
    </row>
    <row r="5" spans="1:16" x14ac:dyDescent="0.25">
      <c r="A5" s="17">
        <v>199</v>
      </c>
      <c r="B5" s="17" t="s">
        <v>238</v>
      </c>
      <c r="C5" s="17">
        <v>22</v>
      </c>
      <c r="D5" s="17" t="s">
        <v>116</v>
      </c>
      <c r="E5" s="17" t="s">
        <v>239</v>
      </c>
      <c r="F5" s="17" t="s">
        <v>239</v>
      </c>
      <c r="G5" s="17">
        <v>36</v>
      </c>
      <c r="H5" s="17">
        <v>36</v>
      </c>
      <c r="I5" s="17">
        <v>581.4</v>
      </c>
      <c r="J5" s="17">
        <v>582.5</v>
      </c>
      <c r="K5" s="17" t="s">
        <v>240</v>
      </c>
      <c r="L5" s="17" t="str">
        <f>INDEX(Vendors!$B$2:$B$13,MATCH(C5,Vendors!$A$2:$A$13,0))</f>
        <v>Sunrise Dairy Cooperative</v>
      </c>
      <c r="M5" s="18">
        <f t="shared" si="0"/>
        <v>1</v>
      </c>
      <c r="N5" s="18">
        <f t="shared" si="1"/>
        <v>1</v>
      </c>
      <c r="O5" s="19">
        <f t="shared" si="2"/>
        <v>1.8919848641211262E-3</v>
      </c>
      <c r="P5" s="18">
        <f t="shared" si="3"/>
        <v>2</v>
      </c>
    </row>
    <row r="6" spans="1:16" x14ac:dyDescent="0.25">
      <c r="A6" s="17">
        <v>200</v>
      </c>
      <c r="B6" s="17" t="s">
        <v>241</v>
      </c>
      <c r="C6" s="17">
        <v>14</v>
      </c>
      <c r="D6" s="17" t="s">
        <v>136</v>
      </c>
      <c r="E6" s="17" t="s">
        <v>242</v>
      </c>
      <c r="F6" s="17" t="s">
        <v>243</v>
      </c>
      <c r="G6" s="17">
        <v>184</v>
      </c>
      <c r="H6" s="17">
        <v>184</v>
      </c>
      <c r="I6" s="17">
        <v>3595.4</v>
      </c>
      <c r="J6" s="17">
        <v>3656.3</v>
      </c>
      <c r="K6" s="17" t="s">
        <v>244</v>
      </c>
      <c r="L6" s="17" t="str">
        <f>INDEX(Vendors!$B$2:$B$13,MATCH(C6,Vendors!$A$2:$A$13,0))</f>
        <v>Cascade Creamery Supply</v>
      </c>
      <c r="M6" s="18">
        <f t="shared" si="0"/>
        <v>1</v>
      </c>
      <c r="N6" s="18">
        <f t="shared" si="1"/>
        <v>1</v>
      </c>
      <c r="O6" s="19">
        <f t="shared" si="2"/>
        <v>1.6938310062858123E-2</v>
      </c>
      <c r="P6" s="18">
        <f t="shared" si="3"/>
        <v>1</v>
      </c>
    </row>
    <row r="7" spans="1:16" x14ac:dyDescent="0.25">
      <c r="A7" s="17">
        <v>201</v>
      </c>
      <c r="B7" s="17" t="s">
        <v>245</v>
      </c>
      <c r="C7" s="17">
        <v>18</v>
      </c>
      <c r="D7" s="17" t="s">
        <v>116</v>
      </c>
      <c r="E7" s="17" t="s">
        <v>246</v>
      </c>
      <c r="F7" s="17" t="s">
        <v>232</v>
      </c>
      <c r="G7" s="17">
        <v>72</v>
      </c>
      <c r="H7" s="17">
        <v>72</v>
      </c>
      <c r="I7" s="17">
        <v>565.9</v>
      </c>
      <c r="J7" s="17">
        <v>562.4</v>
      </c>
      <c r="K7" s="17" t="s">
        <v>247</v>
      </c>
      <c r="L7" s="17" t="str">
        <f>INDEX(Vendors!$B$2:$B$13,MATCH(C7,Vendors!$A$2:$A$13,0))</f>
        <v>Crestline Packaging Supply</v>
      </c>
      <c r="M7" s="18">
        <f t="shared" si="0"/>
        <v>0</v>
      </c>
      <c r="N7" s="18">
        <f t="shared" si="1"/>
        <v>1</v>
      </c>
      <c r="O7" s="19">
        <f t="shared" si="2"/>
        <v>-6.1848383106555931E-3</v>
      </c>
      <c r="P7" s="18">
        <f t="shared" si="3"/>
        <v>0</v>
      </c>
    </row>
    <row r="8" spans="1:16" x14ac:dyDescent="0.25">
      <c r="A8" s="17">
        <v>202</v>
      </c>
      <c r="B8" s="17" t="s">
        <v>248</v>
      </c>
      <c r="C8" s="17">
        <v>20</v>
      </c>
      <c r="D8" s="17" t="s">
        <v>116</v>
      </c>
      <c r="E8" s="17" t="s">
        <v>232</v>
      </c>
      <c r="F8" s="17" t="s">
        <v>249</v>
      </c>
      <c r="G8" s="17">
        <v>141</v>
      </c>
      <c r="H8" s="17">
        <v>141</v>
      </c>
      <c r="I8" s="17">
        <v>2686.1</v>
      </c>
      <c r="J8" s="17">
        <v>2684.9</v>
      </c>
      <c r="K8" s="17" t="s">
        <v>250</v>
      </c>
      <c r="L8" s="17" t="str">
        <f>INDEX(Vendors!$B$2:$B$13,MATCH(C8,Vendors!$A$2:$A$13,0))</f>
        <v>Ridgeway Cold Storage Logistics</v>
      </c>
      <c r="M8" s="18">
        <f t="shared" si="0"/>
        <v>0</v>
      </c>
      <c r="N8" s="18">
        <f t="shared" si="1"/>
        <v>1</v>
      </c>
      <c r="O8" s="19">
        <f t="shared" si="2"/>
        <v>-4.4674435054533267E-4</v>
      </c>
      <c r="P8" s="18">
        <f t="shared" si="3"/>
        <v>1</v>
      </c>
    </row>
    <row r="9" spans="1:16" x14ac:dyDescent="0.25">
      <c r="A9" s="17">
        <v>203</v>
      </c>
      <c r="B9" s="17" t="s">
        <v>251</v>
      </c>
      <c r="C9" s="17">
        <v>13</v>
      </c>
      <c r="D9" s="17" t="s">
        <v>143</v>
      </c>
      <c r="E9" s="17" t="s">
        <v>174</v>
      </c>
      <c r="F9" s="17" t="s">
        <v>249</v>
      </c>
      <c r="G9" s="17">
        <v>97</v>
      </c>
      <c r="H9" s="17">
        <v>97</v>
      </c>
      <c r="I9" s="17">
        <v>1460.8</v>
      </c>
      <c r="J9" s="17">
        <v>1458.2</v>
      </c>
      <c r="K9" s="17" t="s">
        <v>252</v>
      </c>
      <c r="L9" s="17" t="str">
        <f>INDEX(Vendors!$B$2:$B$13,MATCH(C9,Vendors!$A$2:$A$13,0))</f>
        <v>Meadowbrook Dairy Co-op</v>
      </c>
      <c r="M9" s="18">
        <f t="shared" si="0"/>
        <v>1</v>
      </c>
      <c r="N9" s="18">
        <f t="shared" si="1"/>
        <v>1</v>
      </c>
      <c r="O9" s="19">
        <f t="shared" si="2"/>
        <v>-1.7798466593646695E-3</v>
      </c>
      <c r="P9" s="18">
        <f t="shared" si="3"/>
        <v>2</v>
      </c>
    </row>
    <row r="10" spans="1:16" x14ac:dyDescent="0.25">
      <c r="A10" s="17">
        <v>204</v>
      </c>
      <c r="B10" s="17" t="s">
        <v>253</v>
      </c>
      <c r="C10" s="17">
        <v>14</v>
      </c>
      <c r="D10" s="17" t="s">
        <v>113</v>
      </c>
      <c r="E10" s="17" t="s">
        <v>249</v>
      </c>
      <c r="F10" s="17" t="s">
        <v>249</v>
      </c>
      <c r="G10" s="17">
        <v>25</v>
      </c>
      <c r="H10" s="17">
        <v>25</v>
      </c>
      <c r="I10" s="17">
        <v>202.2</v>
      </c>
      <c r="J10" s="17">
        <v>203.7</v>
      </c>
      <c r="K10" s="17" t="s">
        <v>254</v>
      </c>
      <c r="L10" s="17" t="str">
        <f>INDEX(Vendors!$B$2:$B$13,MATCH(C10,Vendors!$A$2:$A$13,0))</f>
        <v>Cascade Creamery Supply</v>
      </c>
      <c r="M10" s="18">
        <f t="shared" si="0"/>
        <v>1</v>
      </c>
      <c r="N10" s="18">
        <f t="shared" si="1"/>
        <v>1</v>
      </c>
      <c r="O10" s="19">
        <f t="shared" si="2"/>
        <v>7.4183976261127599E-3</v>
      </c>
      <c r="P10" s="18">
        <f t="shared" si="3"/>
        <v>1</v>
      </c>
    </row>
    <row r="11" spans="1:16" x14ac:dyDescent="0.25">
      <c r="A11" s="17">
        <v>205</v>
      </c>
      <c r="B11" s="17" t="s">
        <v>255</v>
      </c>
      <c r="C11" s="17">
        <v>20</v>
      </c>
      <c r="D11" s="17" t="s">
        <v>116</v>
      </c>
      <c r="E11" s="17" t="s">
        <v>233</v>
      </c>
      <c r="F11" s="17" t="s">
        <v>242</v>
      </c>
      <c r="G11" s="17">
        <v>15</v>
      </c>
      <c r="H11" s="17">
        <v>15</v>
      </c>
      <c r="I11" s="17">
        <v>138.19999999999999</v>
      </c>
      <c r="J11" s="17">
        <v>138.19999999999999</v>
      </c>
      <c r="K11" s="17" t="s">
        <v>256</v>
      </c>
      <c r="L11" s="17" t="str">
        <f>INDEX(Vendors!$B$2:$B$13,MATCH(C11,Vendors!$A$2:$A$13,0))</f>
        <v>Ridgeway Cold Storage Logistics</v>
      </c>
      <c r="M11" s="18">
        <f t="shared" si="0"/>
        <v>1</v>
      </c>
      <c r="N11" s="18">
        <f t="shared" si="1"/>
        <v>1</v>
      </c>
      <c r="O11" s="19">
        <f t="shared" si="2"/>
        <v>0</v>
      </c>
      <c r="P11" s="18">
        <f t="shared" si="3"/>
        <v>1</v>
      </c>
    </row>
    <row r="12" spans="1:16" x14ac:dyDescent="0.25">
      <c r="A12" s="17">
        <v>206</v>
      </c>
      <c r="B12" s="17" t="s">
        <v>257</v>
      </c>
      <c r="C12" s="17">
        <v>16</v>
      </c>
      <c r="D12" s="17" t="s">
        <v>149</v>
      </c>
      <c r="E12" s="17" t="s">
        <v>174</v>
      </c>
      <c r="F12" s="17" t="s">
        <v>174</v>
      </c>
      <c r="G12" s="17">
        <v>111</v>
      </c>
      <c r="H12" s="17">
        <v>111</v>
      </c>
      <c r="I12" s="17">
        <v>2425.4</v>
      </c>
      <c r="J12" s="17">
        <v>2420.5</v>
      </c>
      <c r="K12" s="17" t="s">
        <v>258</v>
      </c>
      <c r="L12" s="17" t="str">
        <f>INDEX(Vendors!$B$2:$B$13,MATCH(C12,Vendors!$A$2:$A$13,0))</f>
        <v>Bluegrass Milk Producers</v>
      </c>
      <c r="M12" s="18">
        <f t="shared" si="0"/>
        <v>1</v>
      </c>
      <c r="N12" s="18">
        <f t="shared" si="1"/>
        <v>1</v>
      </c>
      <c r="O12" s="19">
        <f t="shared" si="2"/>
        <v>-2.0202853137627156E-3</v>
      </c>
      <c r="P12" s="18">
        <f t="shared" si="3"/>
        <v>2</v>
      </c>
    </row>
    <row r="13" spans="1:16" x14ac:dyDescent="0.25">
      <c r="A13" s="17">
        <v>207</v>
      </c>
      <c r="B13" s="17" t="s">
        <v>259</v>
      </c>
      <c r="C13" s="17">
        <v>21</v>
      </c>
      <c r="D13" s="17" t="s">
        <v>113</v>
      </c>
      <c r="E13" s="17" t="s">
        <v>173</v>
      </c>
      <c r="F13" s="17" t="s">
        <v>174</v>
      </c>
      <c r="G13" s="17">
        <v>150</v>
      </c>
      <c r="H13" s="17">
        <v>150</v>
      </c>
      <c r="I13" s="17">
        <v>1600.5</v>
      </c>
      <c r="J13" s="17">
        <v>1625.1</v>
      </c>
      <c r="K13" s="17" t="s">
        <v>260</v>
      </c>
      <c r="L13" s="17" t="str">
        <f>INDEX(Vendors!$B$2:$B$13,MATCH(C13,Vendors!$A$2:$A$13,0))</f>
        <v>Coastal Freight Distributors</v>
      </c>
      <c r="M13" s="18">
        <f t="shared" si="0"/>
        <v>0</v>
      </c>
      <c r="N13" s="18">
        <f t="shared" si="1"/>
        <v>1</v>
      </c>
      <c r="O13" s="19">
        <f t="shared" si="2"/>
        <v>1.5370196813495727E-2</v>
      </c>
      <c r="P13" s="18">
        <f t="shared" si="3"/>
        <v>1</v>
      </c>
    </row>
    <row r="14" spans="1:16" x14ac:dyDescent="0.25">
      <c r="A14" s="17">
        <v>208</v>
      </c>
      <c r="B14" s="17" t="s">
        <v>261</v>
      </c>
      <c r="C14" s="17">
        <v>16</v>
      </c>
      <c r="D14" s="17" t="s">
        <v>104</v>
      </c>
      <c r="E14" s="17" t="s">
        <v>232</v>
      </c>
      <c r="F14" s="17" t="s">
        <v>232</v>
      </c>
      <c r="G14" s="17">
        <v>178</v>
      </c>
      <c r="H14" s="17">
        <v>178</v>
      </c>
      <c r="I14" s="17">
        <v>2203.6</v>
      </c>
      <c r="J14" s="17">
        <v>2182.6999999999998</v>
      </c>
      <c r="K14" s="17" t="s">
        <v>262</v>
      </c>
      <c r="L14" s="17" t="str">
        <f>INDEX(Vendors!$B$2:$B$13,MATCH(C14,Vendors!$A$2:$A$13,0))</f>
        <v>Bluegrass Milk Producers</v>
      </c>
      <c r="M14" s="18">
        <f t="shared" si="0"/>
        <v>1</v>
      </c>
      <c r="N14" s="18">
        <f t="shared" si="1"/>
        <v>1</v>
      </c>
      <c r="O14" s="19">
        <f t="shared" si="2"/>
        <v>-9.4844799419132753E-3</v>
      </c>
      <c r="P14" s="18">
        <f t="shared" si="3"/>
        <v>1</v>
      </c>
    </row>
    <row r="15" spans="1:16" x14ac:dyDescent="0.25">
      <c r="A15" s="17">
        <v>209</v>
      </c>
      <c r="B15" s="17" t="s">
        <v>263</v>
      </c>
      <c r="C15" s="17">
        <v>13</v>
      </c>
      <c r="D15" s="17" t="s">
        <v>104</v>
      </c>
      <c r="E15" s="17" t="s">
        <v>239</v>
      </c>
      <c r="F15" s="17" t="s">
        <v>264</v>
      </c>
      <c r="G15" s="17">
        <v>42</v>
      </c>
      <c r="H15" s="17">
        <v>42</v>
      </c>
      <c r="I15" s="17">
        <v>551.5</v>
      </c>
      <c r="J15" s="17">
        <v>555.4</v>
      </c>
      <c r="K15" s="17" t="s">
        <v>265</v>
      </c>
      <c r="L15" s="17" t="str">
        <f>INDEX(Vendors!$B$2:$B$13,MATCH(C15,Vendors!$A$2:$A$13,0))</f>
        <v>Meadowbrook Dairy Co-op</v>
      </c>
      <c r="M15" s="18">
        <f t="shared" si="0"/>
        <v>1</v>
      </c>
      <c r="N15" s="18">
        <f t="shared" si="1"/>
        <v>1</v>
      </c>
      <c r="O15" s="19">
        <f t="shared" si="2"/>
        <v>7.071622846781464E-3</v>
      </c>
      <c r="P15" s="18">
        <f t="shared" si="3"/>
        <v>2</v>
      </c>
    </row>
    <row r="16" spans="1:16" x14ac:dyDescent="0.25">
      <c r="A16" s="17">
        <v>210</v>
      </c>
      <c r="B16" s="17" t="s">
        <v>266</v>
      </c>
      <c r="C16" s="17">
        <v>20</v>
      </c>
      <c r="D16" s="17" t="s">
        <v>159</v>
      </c>
      <c r="E16" s="17" t="s">
        <v>267</v>
      </c>
      <c r="F16" s="17" t="s">
        <v>236</v>
      </c>
      <c r="G16" s="17">
        <v>110</v>
      </c>
      <c r="H16" s="17">
        <v>110</v>
      </c>
      <c r="I16" s="17">
        <v>1764.4</v>
      </c>
      <c r="J16" s="17">
        <v>1733.9</v>
      </c>
      <c r="K16" s="17" t="s">
        <v>268</v>
      </c>
      <c r="L16" s="17" t="str">
        <f>INDEX(Vendors!$B$2:$B$13,MATCH(C16,Vendors!$A$2:$A$13,0))</f>
        <v>Ridgeway Cold Storage Logistics</v>
      </c>
      <c r="M16" s="18">
        <f t="shared" si="0"/>
        <v>1</v>
      </c>
      <c r="N16" s="18">
        <f t="shared" si="1"/>
        <v>1</v>
      </c>
      <c r="O16" s="19">
        <f t="shared" si="2"/>
        <v>-1.7286329630469281E-2</v>
      </c>
      <c r="P16" s="18">
        <f t="shared" si="3"/>
        <v>2</v>
      </c>
    </row>
    <row r="17" spans="1:16" x14ac:dyDescent="0.25">
      <c r="A17" s="17">
        <v>211</v>
      </c>
      <c r="B17" s="17" t="s">
        <v>269</v>
      </c>
      <c r="C17" s="17">
        <v>16</v>
      </c>
      <c r="D17" s="17" t="s">
        <v>127</v>
      </c>
      <c r="E17" s="17" t="s">
        <v>270</v>
      </c>
      <c r="F17" s="17" t="s">
        <v>270</v>
      </c>
      <c r="G17" s="17">
        <v>36</v>
      </c>
      <c r="H17" s="17">
        <v>36</v>
      </c>
      <c r="I17" s="17">
        <v>151.6</v>
      </c>
      <c r="J17" s="17">
        <v>150.80000000000001</v>
      </c>
      <c r="K17" s="17" t="s">
        <v>271</v>
      </c>
      <c r="L17" s="17" t="str">
        <f>INDEX(Vendors!$B$2:$B$13,MATCH(C17,Vendors!$A$2:$A$13,0))</f>
        <v>Bluegrass Milk Producers</v>
      </c>
      <c r="M17" s="18">
        <f t="shared" si="0"/>
        <v>1</v>
      </c>
      <c r="N17" s="18">
        <f t="shared" si="1"/>
        <v>1</v>
      </c>
      <c r="O17" s="19">
        <f t="shared" si="2"/>
        <v>-5.2770448548811544E-3</v>
      </c>
      <c r="P17" s="18">
        <f t="shared" si="3"/>
        <v>2</v>
      </c>
    </row>
    <row r="18" spans="1:16" x14ac:dyDescent="0.25">
      <c r="A18" s="17">
        <v>212</v>
      </c>
      <c r="B18" s="17" t="s">
        <v>272</v>
      </c>
      <c r="C18" s="17">
        <v>13</v>
      </c>
      <c r="D18" s="17" t="s">
        <v>100</v>
      </c>
      <c r="E18" s="17" t="s">
        <v>273</v>
      </c>
      <c r="F18" s="17" t="s">
        <v>273</v>
      </c>
      <c r="G18" s="17">
        <v>172</v>
      </c>
      <c r="H18" s="17">
        <v>172</v>
      </c>
      <c r="I18" s="17">
        <v>1549.7</v>
      </c>
      <c r="J18" s="17">
        <v>1526.3</v>
      </c>
      <c r="K18" s="17" t="s">
        <v>274</v>
      </c>
      <c r="L18" s="17" t="str">
        <f>INDEX(Vendors!$B$2:$B$13,MATCH(C18,Vendors!$A$2:$A$13,0))</f>
        <v>Meadowbrook Dairy Co-op</v>
      </c>
      <c r="M18" s="18">
        <f t="shared" si="0"/>
        <v>1</v>
      </c>
      <c r="N18" s="18">
        <f t="shared" si="1"/>
        <v>1</v>
      </c>
      <c r="O18" s="19">
        <f t="shared" si="2"/>
        <v>-1.5099696715493379E-2</v>
      </c>
      <c r="P18" s="18">
        <f t="shared" si="3"/>
        <v>3</v>
      </c>
    </row>
    <row r="19" spans="1:16" x14ac:dyDescent="0.25">
      <c r="A19" s="17">
        <v>213</v>
      </c>
      <c r="B19" s="17" t="s">
        <v>275</v>
      </c>
      <c r="C19" s="17">
        <v>20</v>
      </c>
      <c r="D19" s="17" t="s">
        <v>127</v>
      </c>
      <c r="E19" s="17" t="s">
        <v>236</v>
      </c>
      <c r="F19" s="17" t="s">
        <v>236</v>
      </c>
      <c r="G19" s="17">
        <v>46</v>
      </c>
      <c r="H19" s="17">
        <v>46</v>
      </c>
      <c r="I19" s="17">
        <v>408.9</v>
      </c>
      <c r="J19" s="17">
        <v>414.3</v>
      </c>
      <c r="K19" s="17" t="s">
        <v>276</v>
      </c>
      <c r="L19" s="17" t="str">
        <f>INDEX(Vendors!$B$2:$B$13,MATCH(C19,Vendors!$A$2:$A$13,0))</f>
        <v>Ridgeway Cold Storage Logistics</v>
      </c>
      <c r="M19" s="18">
        <f t="shared" si="0"/>
        <v>1</v>
      </c>
      <c r="N19" s="18">
        <f t="shared" si="1"/>
        <v>1</v>
      </c>
      <c r="O19" s="19">
        <f t="shared" si="2"/>
        <v>1.3206162876008887E-2</v>
      </c>
      <c r="P19" s="18">
        <f t="shared" si="3"/>
        <v>2</v>
      </c>
    </row>
    <row r="20" spans="1:16" x14ac:dyDescent="0.25">
      <c r="A20" s="17">
        <v>214</v>
      </c>
      <c r="B20" s="17" t="s">
        <v>277</v>
      </c>
      <c r="C20" s="17">
        <v>15</v>
      </c>
      <c r="D20" s="17" t="s">
        <v>132</v>
      </c>
      <c r="E20" s="17" t="s">
        <v>174</v>
      </c>
      <c r="F20" s="17" t="s">
        <v>249</v>
      </c>
      <c r="G20" s="17">
        <v>47</v>
      </c>
      <c r="H20" s="17">
        <v>47</v>
      </c>
      <c r="I20" s="17">
        <v>1076.3</v>
      </c>
      <c r="J20" s="17">
        <v>1067.5999999999999</v>
      </c>
      <c r="K20" s="17" t="s">
        <v>278</v>
      </c>
      <c r="L20" s="17" t="str">
        <f>INDEX(Vendors!$B$2:$B$13,MATCH(C20,Vendors!$A$2:$A$13,0))</f>
        <v>Heritage Farms Dairy</v>
      </c>
      <c r="M20" s="18">
        <f t="shared" si="0"/>
        <v>1</v>
      </c>
      <c r="N20" s="18">
        <f t="shared" si="1"/>
        <v>1</v>
      </c>
      <c r="O20" s="19">
        <f t="shared" si="2"/>
        <v>-8.0832481650097987E-3</v>
      </c>
      <c r="P20" s="18">
        <f t="shared" si="3"/>
        <v>2</v>
      </c>
    </row>
    <row r="21" spans="1:16" x14ac:dyDescent="0.25">
      <c r="A21" s="17">
        <v>215</v>
      </c>
      <c r="B21" s="17" t="s">
        <v>279</v>
      </c>
      <c r="C21" s="17">
        <v>23</v>
      </c>
      <c r="D21" s="17" t="s">
        <v>156</v>
      </c>
      <c r="E21" s="17" t="s">
        <v>264</v>
      </c>
      <c r="F21" s="17" t="s">
        <v>280</v>
      </c>
      <c r="G21" s="17">
        <v>142</v>
      </c>
      <c r="H21" s="17">
        <v>142</v>
      </c>
      <c r="I21" s="17">
        <v>651.79999999999995</v>
      </c>
      <c r="J21" s="17">
        <v>652.6</v>
      </c>
      <c r="K21" s="17" t="s">
        <v>281</v>
      </c>
      <c r="L21" s="17" t="str">
        <f>INDEX(Vendors!$B$2:$B$13,MATCH(C21,Vendors!$A$2:$A$13,0))</f>
        <v>PrecisionPack Supply Co.</v>
      </c>
      <c r="M21" s="18">
        <f t="shared" si="0"/>
        <v>1</v>
      </c>
      <c r="N21" s="18">
        <f t="shared" si="1"/>
        <v>1</v>
      </c>
      <c r="O21" s="19">
        <f t="shared" si="2"/>
        <v>1.2273703590059348E-3</v>
      </c>
      <c r="P21" s="18">
        <f t="shared" si="3"/>
        <v>2</v>
      </c>
    </row>
    <row r="22" spans="1:16" x14ac:dyDescent="0.25">
      <c r="A22" s="17">
        <v>216</v>
      </c>
      <c r="B22" s="17" t="s">
        <v>282</v>
      </c>
      <c r="C22" s="17">
        <v>21</v>
      </c>
      <c r="D22" s="17" t="s">
        <v>118</v>
      </c>
      <c r="E22" s="17" t="s">
        <v>174</v>
      </c>
      <c r="F22" s="17" t="s">
        <v>174</v>
      </c>
      <c r="G22" s="17">
        <v>71</v>
      </c>
      <c r="H22" s="17">
        <v>71</v>
      </c>
      <c r="I22" s="17">
        <v>1322.7</v>
      </c>
      <c r="J22" s="17">
        <v>1323.6</v>
      </c>
      <c r="K22" s="17" t="s">
        <v>283</v>
      </c>
      <c r="L22" s="17" t="str">
        <f>INDEX(Vendors!$B$2:$B$13,MATCH(C22,Vendors!$A$2:$A$13,0))</f>
        <v>Coastal Freight Distributors</v>
      </c>
      <c r="M22" s="18">
        <f t="shared" si="0"/>
        <v>1</v>
      </c>
      <c r="N22" s="18">
        <f t="shared" si="1"/>
        <v>1</v>
      </c>
      <c r="O22" s="19">
        <f t="shared" si="2"/>
        <v>6.80426400544238E-4</v>
      </c>
      <c r="P22" s="18">
        <f t="shared" si="3"/>
        <v>2</v>
      </c>
    </row>
    <row r="23" spans="1:16" x14ac:dyDescent="0.25">
      <c r="A23" s="17">
        <v>217</v>
      </c>
      <c r="B23" s="17" t="s">
        <v>284</v>
      </c>
      <c r="C23" s="17">
        <v>18</v>
      </c>
      <c r="D23" s="17" t="s">
        <v>147</v>
      </c>
      <c r="E23" s="17" t="s">
        <v>232</v>
      </c>
      <c r="F23" s="17" t="s">
        <v>267</v>
      </c>
      <c r="G23" s="17">
        <v>81</v>
      </c>
      <c r="H23" s="17">
        <v>81</v>
      </c>
      <c r="I23" s="17">
        <v>424.4</v>
      </c>
      <c r="J23" s="17">
        <v>421.8</v>
      </c>
      <c r="K23" s="17" t="s">
        <v>285</v>
      </c>
      <c r="L23" s="17" t="str">
        <f>INDEX(Vendors!$B$2:$B$13,MATCH(C23,Vendors!$A$2:$A$13,0))</f>
        <v>Crestline Packaging Supply</v>
      </c>
      <c r="M23" s="18">
        <f t="shared" si="0"/>
        <v>0</v>
      </c>
      <c r="N23" s="18">
        <f t="shared" si="1"/>
        <v>1</v>
      </c>
      <c r="O23" s="19">
        <f t="shared" si="2"/>
        <v>-6.1262959472195245E-3</v>
      </c>
      <c r="P23" s="18">
        <f t="shared" si="3"/>
        <v>1</v>
      </c>
    </row>
    <row r="24" spans="1:16" x14ac:dyDescent="0.25">
      <c r="A24" s="17">
        <v>218</v>
      </c>
      <c r="B24" s="17" t="s">
        <v>286</v>
      </c>
      <c r="C24" s="17">
        <v>24</v>
      </c>
      <c r="D24" s="17" t="s">
        <v>120</v>
      </c>
      <c r="E24" s="17" t="s">
        <v>249</v>
      </c>
      <c r="F24" s="17" t="s">
        <v>249</v>
      </c>
      <c r="G24" s="17">
        <v>68</v>
      </c>
      <c r="H24" s="17">
        <v>68</v>
      </c>
      <c r="I24" s="17">
        <v>596.4</v>
      </c>
      <c r="J24" s="17">
        <v>608</v>
      </c>
      <c r="K24" s="17" t="s">
        <v>287</v>
      </c>
      <c r="L24" s="17" t="str">
        <f>INDEX(Vendors!$B$2:$B$13,MATCH(C24,Vendors!$A$2:$A$13,0))</f>
        <v>Budget Dairy Wholesale</v>
      </c>
      <c r="M24" s="18">
        <f t="shared" si="0"/>
        <v>1</v>
      </c>
      <c r="N24" s="18">
        <f t="shared" si="1"/>
        <v>1</v>
      </c>
      <c r="O24" s="19">
        <f t="shared" si="2"/>
        <v>1.9450033534540615E-2</v>
      </c>
      <c r="P24" s="18">
        <f t="shared" si="3"/>
        <v>1</v>
      </c>
    </row>
    <row r="25" spans="1:16" x14ac:dyDescent="0.25">
      <c r="A25" s="17">
        <v>219</v>
      </c>
      <c r="B25" s="17" t="s">
        <v>288</v>
      </c>
      <c r="C25" s="17">
        <v>22</v>
      </c>
      <c r="D25" s="17" t="s">
        <v>154</v>
      </c>
      <c r="E25" s="17" t="s">
        <v>270</v>
      </c>
      <c r="F25" s="17" t="s">
        <v>267</v>
      </c>
      <c r="G25" s="17">
        <v>174</v>
      </c>
      <c r="H25" s="17">
        <v>174</v>
      </c>
      <c r="I25" s="17">
        <v>2902.3</v>
      </c>
      <c r="J25" s="17">
        <v>2617</v>
      </c>
      <c r="K25" s="17" t="s">
        <v>289</v>
      </c>
      <c r="L25" s="17" t="str">
        <f>INDEX(Vendors!$B$2:$B$13,MATCH(C25,Vendors!$A$2:$A$13,0))</f>
        <v>Sunrise Dairy Cooperative</v>
      </c>
      <c r="M25" s="18">
        <f t="shared" si="0"/>
        <v>1</v>
      </c>
      <c r="N25" s="18">
        <f t="shared" si="1"/>
        <v>1</v>
      </c>
      <c r="O25" s="19">
        <f t="shared" si="2"/>
        <v>-9.8301347207387299E-2</v>
      </c>
      <c r="P25" s="18">
        <f t="shared" si="3"/>
        <v>2</v>
      </c>
    </row>
    <row r="26" spans="1:16" x14ac:dyDescent="0.25">
      <c r="A26" s="17">
        <v>220</v>
      </c>
      <c r="B26" s="17" t="s">
        <v>290</v>
      </c>
      <c r="C26" s="17">
        <v>16</v>
      </c>
      <c r="D26" s="17" t="s">
        <v>130</v>
      </c>
      <c r="E26" s="17" t="s">
        <v>270</v>
      </c>
      <c r="F26" s="17" t="s">
        <v>267</v>
      </c>
      <c r="G26" s="17">
        <v>32</v>
      </c>
      <c r="H26" s="17">
        <v>32</v>
      </c>
      <c r="I26" s="17">
        <v>777.9</v>
      </c>
      <c r="J26" s="17">
        <v>774.8</v>
      </c>
      <c r="K26" s="17" t="s">
        <v>291</v>
      </c>
      <c r="L26" s="17" t="str">
        <f>INDEX(Vendors!$B$2:$B$13,MATCH(C26,Vendors!$A$2:$A$13,0))</f>
        <v>Bluegrass Milk Producers</v>
      </c>
      <c r="M26" s="18">
        <f t="shared" si="0"/>
        <v>1</v>
      </c>
      <c r="N26" s="18">
        <f t="shared" si="1"/>
        <v>1</v>
      </c>
      <c r="O26" s="19">
        <f t="shared" si="2"/>
        <v>-3.9850880575909792E-3</v>
      </c>
      <c r="P26" s="18">
        <f t="shared" si="3"/>
        <v>2</v>
      </c>
    </row>
    <row r="27" spans="1:16" x14ac:dyDescent="0.25">
      <c r="A27" s="17">
        <v>221</v>
      </c>
      <c r="B27" s="17" t="s">
        <v>292</v>
      </c>
      <c r="C27" s="17">
        <v>14</v>
      </c>
      <c r="D27" s="17" t="s">
        <v>147</v>
      </c>
      <c r="E27" s="17" t="s">
        <v>236</v>
      </c>
      <c r="F27" s="17" t="s">
        <v>236</v>
      </c>
      <c r="G27" s="17">
        <v>17</v>
      </c>
      <c r="H27" s="17">
        <v>17</v>
      </c>
      <c r="I27" s="17">
        <v>385.4</v>
      </c>
      <c r="J27" s="17">
        <v>379.9</v>
      </c>
      <c r="K27" s="17" t="s">
        <v>293</v>
      </c>
      <c r="L27" s="17" t="str">
        <f>INDEX(Vendors!$B$2:$B$13,MATCH(C27,Vendors!$A$2:$A$13,0))</f>
        <v>Cascade Creamery Supply</v>
      </c>
      <c r="M27" s="18">
        <f t="shared" si="0"/>
        <v>1</v>
      </c>
      <c r="N27" s="18">
        <f t="shared" si="1"/>
        <v>1</v>
      </c>
      <c r="O27" s="19">
        <f t="shared" si="2"/>
        <v>-1.4270887389724962E-2</v>
      </c>
      <c r="P27" s="18">
        <f t="shared" si="3"/>
        <v>2</v>
      </c>
    </row>
    <row r="28" spans="1:16" x14ac:dyDescent="0.25">
      <c r="A28" s="17">
        <v>222</v>
      </c>
      <c r="B28" s="17" t="s">
        <v>294</v>
      </c>
      <c r="C28" s="17">
        <v>22</v>
      </c>
      <c r="D28" s="17" t="s">
        <v>130</v>
      </c>
      <c r="E28" s="17" t="s">
        <v>295</v>
      </c>
      <c r="F28" s="17" t="s">
        <v>295</v>
      </c>
      <c r="G28" s="17">
        <v>15</v>
      </c>
      <c r="H28" s="17">
        <v>15</v>
      </c>
      <c r="I28" s="17">
        <v>364.3</v>
      </c>
      <c r="J28" s="17">
        <v>364.7</v>
      </c>
      <c r="K28" s="17" t="s">
        <v>296</v>
      </c>
      <c r="L28" s="17" t="str">
        <f>INDEX(Vendors!$B$2:$B$13,MATCH(C28,Vendors!$A$2:$A$13,0))</f>
        <v>Sunrise Dairy Cooperative</v>
      </c>
      <c r="M28" s="18">
        <f t="shared" si="0"/>
        <v>1</v>
      </c>
      <c r="N28" s="18">
        <f t="shared" si="1"/>
        <v>1</v>
      </c>
      <c r="O28" s="19">
        <f t="shared" si="2"/>
        <v>1.0979961570133879E-3</v>
      </c>
      <c r="P28" s="18">
        <f t="shared" si="3"/>
        <v>4</v>
      </c>
    </row>
    <row r="29" spans="1:16" x14ac:dyDescent="0.25">
      <c r="A29" s="17">
        <v>223</v>
      </c>
      <c r="B29" s="17" t="s">
        <v>297</v>
      </c>
      <c r="C29" s="17">
        <v>15</v>
      </c>
      <c r="D29" s="17" t="s">
        <v>125</v>
      </c>
      <c r="E29" s="17" t="s">
        <v>273</v>
      </c>
      <c r="F29" s="17" t="s">
        <v>273</v>
      </c>
      <c r="G29" s="17">
        <v>17</v>
      </c>
      <c r="H29" s="17">
        <v>17</v>
      </c>
      <c r="I29" s="17">
        <v>130.6</v>
      </c>
      <c r="J29" s="17">
        <v>131.1</v>
      </c>
      <c r="K29" s="17" t="s">
        <v>298</v>
      </c>
      <c r="L29" s="17" t="str">
        <f>INDEX(Vendors!$B$2:$B$13,MATCH(C29,Vendors!$A$2:$A$13,0))</f>
        <v>Heritage Farms Dairy</v>
      </c>
      <c r="M29" s="18">
        <f t="shared" si="0"/>
        <v>1</v>
      </c>
      <c r="N29" s="18">
        <f t="shared" si="1"/>
        <v>1</v>
      </c>
      <c r="O29" s="19">
        <f t="shared" si="2"/>
        <v>3.8284839203675345E-3</v>
      </c>
      <c r="P29" s="18">
        <f t="shared" si="3"/>
        <v>3</v>
      </c>
    </row>
    <row r="30" spans="1:16" x14ac:dyDescent="0.25">
      <c r="A30" s="17">
        <v>224</v>
      </c>
      <c r="B30" s="17" t="s">
        <v>299</v>
      </c>
      <c r="C30" s="17">
        <v>17</v>
      </c>
      <c r="D30" s="17" t="s">
        <v>134</v>
      </c>
      <c r="E30" s="17" t="s">
        <v>300</v>
      </c>
      <c r="F30" s="17" t="s">
        <v>300</v>
      </c>
      <c r="G30" s="17">
        <v>199</v>
      </c>
      <c r="H30" s="17">
        <v>199</v>
      </c>
      <c r="I30" s="17">
        <v>2332.3000000000002</v>
      </c>
      <c r="J30" s="17">
        <v>2370</v>
      </c>
      <c r="K30" s="17" t="s">
        <v>301</v>
      </c>
      <c r="L30" s="17" t="str">
        <f>INDEX(Vendors!$B$2:$B$13,MATCH(C30,Vendors!$A$2:$A$13,0))</f>
        <v>Golden Valley Creamery</v>
      </c>
      <c r="M30" s="18">
        <f t="shared" si="0"/>
        <v>1</v>
      </c>
      <c r="N30" s="18">
        <f t="shared" si="1"/>
        <v>1</v>
      </c>
      <c r="O30" s="19">
        <f t="shared" si="2"/>
        <v>1.6164301333447591E-2</v>
      </c>
      <c r="P30" s="18">
        <f t="shared" si="3"/>
        <v>3</v>
      </c>
    </row>
    <row r="31" spans="1:16" x14ac:dyDescent="0.25">
      <c r="A31" s="17">
        <v>225</v>
      </c>
      <c r="B31" s="17" t="s">
        <v>302</v>
      </c>
      <c r="C31" s="17">
        <v>19</v>
      </c>
      <c r="D31" s="17" t="s">
        <v>154</v>
      </c>
      <c r="E31" s="17" t="s">
        <v>295</v>
      </c>
      <c r="F31" s="17" t="s">
        <v>295</v>
      </c>
      <c r="G31" s="17">
        <v>144</v>
      </c>
      <c r="H31" s="17">
        <v>144</v>
      </c>
      <c r="I31" s="17">
        <v>3150.7</v>
      </c>
      <c r="J31" s="17">
        <v>3164.4</v>
      </c>
      <c r="K31" s="17" t="s">
        <v>303</v>
      </c>
      <c r="L31" s="17" t="str">
        <f>INDEX(Vendors!$B$2:$B$13,MATCH(C31,Vendors!$A$2:$A$13,0))</f>
        <v>Northfield Dairy Ingredients</v>
      </c>
      <c r="M31" s="18">
        <f t="shared" si="0"/>
        <v>1</v>
      </c>
      <c r="N31" s="18">
        <f t="shared" si="1"/>
        <v>1</v>
      </c>
      <c r="O31" s="19">
        <f t="shared" si="2"/>
        <v>4.3482400736345175E-3</v>
      </c>
      <c r="P31" s="18">
        <f t="shared" si="3"/>
        <v>4</v>
      </c>
    </row>
    <row r="32" spans="1:16" x14ac:dyDescent="0.25">
      <c r="A32" s="17">
        <v>226</v>
      </c>
      <c r="B32" s="17" t="s">
        <v>304</v>
      </c>
      <c r="C32" s="17">
        <v>15</v>
      </c>
      <c r="D32" s="17" t="s">
        <v>107</v>
      </c>
      <c r="E32" s="17" t="s">
        <v>273</v>
      </c>
      <c r="F32" s="17" t="s">
        <v>273</v>
      </c>
      <c r="G32" s="17">
        <v>152</v>
      </c>
      <c r="H32" s="17">
        <v>152</v>
      </c>
      <c r="I32" s="17">
        <v>2617.4</v>
      </c>
      <c r="J32" s="17">
        <v>2615.6</v>
      </c>
      <c r="K32" s="17" t="s">
        <v>305</v>
      </c>
      <c r="L32" s="17" t="str">
        <f>INDEX(Vendors!$B$2:$B$13,MATCH(C32,Vendors!$A$2:$A$13,0))</f>
        <v>Heritage Farms Dairy</v>
      </c>
      <c r="M32" s="18">
        <f t="shared" si="0"/>
        <v>1</v>
      </c>
      <c r="N32" s="18">
        <f t="shared" si="1"/>
        <v>1</v>
      </c>
      <c r="O32" s="19">
        <f t="shared" si="2"/>
        <v>-6.8770535646067927E-4</v>
      </c>
      <c r="P32" s="18">
        <f t="shared" si="3"/>
        <v>3</v>
      </c>
    </row>
    <row r="33" spans="1:16" x14ac:dyDescent="0.25">
      <c r="A33" s="17">
        <v>227</v>
      </c>
      <c r="B33" s="17" t="s">
        <v>306</v>
      </c>
      <c r="C33" s="17">
        <v>14</v>
      </c>
      <c r="D33" s="17" t="s">
        <v>159</v>
      </c>
      <c r="E33" s="17" t="s">
        <v>176</v>
      </c>
      <c r="F33" s="17" t="s">
        <v>176</v>
      </c>
      <c r="G33" s="17">
        <v>80</v>
      </c>
      <c r="H33" s="17">
        <v>80</v>
      </c>
      <c r="I33" s="17">
        <v>231.2</v>
      </c>
      <c r="J33" s="17">
        <v>226.8</v>
      </c>
      <c r="K33" s="17" t="s">
        <v>307</v>
      </c>
      <c r="L33" s="17" t="str">
        <f>INDEX(Vendors!$B$2:$B$13,MATCH(C33,Vendors!$A$2:$A$13,0))</f>
        <v>Cascade Creamery Supply</v>
      </c>
      <c r="M33" s="18">
        <f t="shared" si="0"/>
        <v>1</v>
      </c>
      <c r="N33" s="18">
        <f t="shared" si="1"/>
        <v>1</v>
      </c>
      <c r="O33" s="19">
        <f t="shared" si="2"/>
        <v>-1.9031141868512014E-2</v>
      </c>
      <c r="P33" s="18">
        <f t="shared" si="3"/>
        <v>4</v>
      </c>
    </row>
    <row r="34" spans="1:16" x14ac:dyDescent="0.25">
      <c r="A34" s="17">
        <v>228</v>
      </c>
      <c r="B34" s="17" t="s">
        <v>308</v>
      </c>
      <c r="C34" s="17">
        <v>14</v>
      </c>
      <c r="D34" s="17" t="s">
        <v>127</v>
      </c>
      <c r="E34" s="17" t="s">
        <v>300</v>
      </c>
      <c r="F34" s="17" t="s">
        <v>300</v>
      </c>
      <c r="G34" s="17">
        <v>187</v>
      </c>
      <c r="H34" s="17">
        <v>187</v>
      </c>
      <c r="I34" s="17">
        <v>2421.6999999999998</v>
      </c>
      <c r="J34" s="17">
        <v>2422.5</v>
      </c>
      <c r="K34" s="17" t="s">
        <v>309</v>
      </c>
      <c r="L34" s="17" t="str">
        <f>INDEX(Vendors!$B$2:$B$13,MATCH(C34,Vendors!$A$2:$A$13,0))</f>
        <v>Cascade Creamery Supply</v>
      </c>
      <c r="M34" s="18">
        <f t="shared" ref="M34:M65" si="4">IF(F34&lt;=E34,1,0)</f>
        <v>1</v>
      </c>
      <c r="N34" s="18">
        <f t="shared" ref="N34:N65" si="5">IF(H34=G34,1,0)</f>
        <v>1</v>
      </c>
      <c r="O34" s="19">
        <f t="shared" ref="O34:O65" si="6">IF(I34=0,0,(J34-I34)/I34)</f>
        <v>3.3034645084039391E-4</v>
      </c>
      <c r="P34" s="18">
        <f t="shared" ref="P34:P65" si="7">INT((DATEVALUE(E34)-DATE(2026,4,6))/7)</f>
        <v>3</v>
      </c>
    </row>
    <row r="35" spans="1:16" x14ac:dyDescent="0.25">
      <c r="A35" s="17">
        <v>229</v>
      </c>
      <c r="B35" s="17" t="s">
        <v>310</v>
      </c>
      <c r="C35" s="17">
        <v>16</v>
      </c>
      <c r="D35" s="17" t="s">
        <v>145</v>
      </c>
      <c r="E35" s="17" t="s">
        <v>311</v>
      </c>
      <c r="F35" s="17" t="s">
        <v>312</v>
      </c>
      <c r="G35" s="17">
        <v>153</v>
      </c>
      <c r="H35" s="17">
        <v>153</v>
      </c>
      <c r="I35" s="17">
        <v>835.4</v>
      </c>
      <c r="J35" s="17">
        <v>832.6</v>
      </c>
      <c r="K35" s="17" t="s">
        <v>313</v>
      </c>
      <c r="L35" s="17" t="str">
        <f>INDEX(Vendors!$B$2:$B$13,MATCH(C35,Vendors!$A$2:$A$13,0))</f>
        <v>Bluegrass Milk Producers</v>
      </c>
      <c r="M35" s="18">
        <f t="shared" si="4"/>
        <v>0</v>
      </c>
      <c r="N35" s="18">
        <f t="shared" si="5"/>
        <v>1</v>
      </c>
      <c r="O35" s="19">
        <f t="shared" si="6"/>
        <v>-3.3516878142206782E-3</v>
      </c>
      <c r="P35" s="18">
        <f t="shared" si="7"/>
        <v>4</v>
      </c>
    </row>
    <row r="36" spans="1:16" x14ac:dyDescent="0.25">
      <c r="A36" s="17">
        <v>230</v>
      </c>
      <c r="B36" s="17" t="s">
        <v>314</v>
      </c>
      <c r="C36" s="17">
        <v>19</v>
      </c>
      <c r="D36" s="17" t="s">
        <v>127</v>
      </c>
      <c r="E36" s="17" t="s">
        <v>315</v>
      </c>
      <c r="F36" s="17" t="s">
        <v>315</v>
      </c>
      <c r="G36" s="17">
        <v>119</v>
      </c>
      <c r="H36" s="17">
        <v>119</v>
      </c>
      <c r="I36" s="17">
        <v>2011.1</v>
      </c>
      <c r="J36" s="17">
        <v>2043</v>
      </c>
      <c r="K36" s="17" t="s">
        <v>316</v>
      </c>
      <c r="L36" s="17" t="str">
        <f>INDEX(Vendors!$B$2:$B$13,MATCH(C36,Vendors!$A$2:$A$13,0))</f>
        <v>Northfield Dairy Ingredients</v>
      </c>
      <c r="M36" s="18">
        <f t="shared" si="4"/>
        <v>1</v>
      </c>
      <c r="N36" s="18">
        <f t="shared" si="5"/>
        <v>1</v>
      </c>
      <c r="O36" s="19">
        <f t="shared" si="6"/>
        <v>1.5861966088210479E-2</v>
      </c>
      <c r="P36" s="18">
        <f t="shared" si="7"/>
        <v>3</v>
      </c>
    </row>
    <row r="37" spans="1:16" x14ac:dyDescent="0.25">
      <c r="A37" s="17">
        <v>231</v>
      </c>
      <c r="B37" s="17" t="s">
        <v>317</v>
      </c>
      <c r="C37" s="17">
        <v>15</v>
      </c>
      <c r="D37" s="17" t="s">
        <v>145</v>
      </c>
      <c r="E37" s="17" t="s">
        <v>318</v>
      </c>
      <c r="F37" s="17" t="s">
        <v>318</v>
      </c>
      <c r="G37" s="17">
        <v>129</v>
      </c>
      <c r="H37" s="17">
        <v>129</v>
      </c>
      <c r="I37" s="17">
        <v>3075.4</v>
      </c>
      <c r="J37" s="17">
        <v>3073.8</v>
      </c>
      <c r="K37" s="17" t="s">
        <v>319</v>
      </c>
      <c r="L37" s="17" t="str">
        <f>INDEX(Vendors!$B$2:$B$13,MATCH(C37,Vendors!$A$2:$A$13,0))</f>
        <v>Heritage Farms Dairy</v>
      </c>
      <c r="M37" s="18">
        <f t="shared" si="4"/>
        <v>1</v>
      </c>
      <c r="N37" s="18">
        <f t="shared" si="5"/>
        <v>1</v>
      </c>
      <c r="O37" s="19">
        <f t="shared" si="6"/>
        <v>-5.2025752747607106E-4</v>
      </c>
      <c r="P37" s="18">
        <f t="shared" si="7"/>
        <v>3</v>
      </c>
    </row>
    <row r="38" spans="1:16" x14ac:dyDescent="0.25">
      <c r="A38" s="17">
        <v>232</v>
      </c>
      <c r="B38" s="17" t="s">
        <v>320</v>
      </c>
      <c r="C38" s="17">
        <v>23</v>
      </c>
      <c r="D38" s="17" t="s">
        <v>154</v>
      </c>
      <c r="E38" s="17" t="s">
        <v>321</v>
      </c>
      <c r="F38" s="17" t="s">
        <v>318</v>
      </c>
      <c r="G38" s="17">
        <v>141</v>
      </c>
      <c r="H38" s="17">
        <v>141</v>
      </c>
      <c r="I38" s="17">
        <v>1525.6</v>
      </c>
      <c r="J38" s="17">
        <v>1500.7</v>
      </c>
      <c r="K38" s="17" t="s">
        <v>322</v>
      </c>
      <c r="L38" s="17" t="str">
        <f>INDEX(Vendors!$B$2:$B$13,MATCH(C38,Vendors!$A$2:$A$13,0))</f>
        <v>PrecisionPack Supply Co.</v>
      </c>
      <c r="M38" s="18">
        <f t="shared" si="4"/>
        <v>1</v>
      </c>
      <c r="N38" s="18">
        <f t="shared" si="5"/>
        <v>1</v>
      </c>
      <c r="O38" s="19">
        <f t="shared" si="6"/>
        <v>-1.632144729942309E-2</v>
      </c>
      <c r="P38" s="18">
        <f t="shared" si="7"/>
        <v>3</v>
      </c>
    </row>
    <row r="39" spans="1:16" x14ac:dyDescent="0.25">
      <c r="A39" s="17">
        <v>233</v>
      </c>
      <c r="B39" s="17" t="s">
        <v>323</v>
      </c>
      <c r="C39" s="17">
        <v>18</v>
      </c>
      <c r="D39" s="17" t="s">
        <v>95</v>
      </c>
      <c r="E39" s="17" t="s">
        <v>175</v>
      </c>
      <c r="F39" s="17" t="s">
        <v>270</v>
      </c>
      <c r="G39" s="17">
        <v>190</v>
      </c>
      <c r="H39" s="17">
        <v>190</v>
      </c>
      <c r="I39" s="17">
        <v>1637.8</v>
      </c>
      <c r="J39" s="17">
        <v>1638.6</v>
      </c>
      <c r="K39" s="17" t="s">
        <v>324</v>
      </c>
      <c r="L39" s="17" t="str">
        <f>INDEX(Vendors!$B$2:$B$13,MATCH(C39,Vendors!$A$2:$A$13,0))</f>
        <v>Crestline Packaging Supply</v>
      </c>
      <c r="M39" s="18">
        <f t="shared" si="4"/>
        <v>1</v>
      </c>
      <c r="N39" s="18">
        <f t="shared" si="5"/>
        <v>1</v>
      </c>
      <c r="O39" s="19">
        <f t="shared" si="6"/>
        <v>4.8846012944190654E-4</v>
      </c>
      <c r="P39" s="18">
        <f t="shared" si="7"/>
        <v>3</v>
      </c>
    </row>
    <row r="40" spans="1:16" x14ac:dyDescent="0.25">
      <c r="A40" s="17">
        <v>234</v>
      </c>
      <c r="B40" s="17" t="s">
        <v>325</v>
      </c>
      <c r="C40" s="17">
        <v>14</v>
      </c>
      <c r="D40" s="17" t="s">
        <v>102</v>
      </c>
      <c r="E40" s="17" t="s">
        <v>326</v>
      </c>
      <c r="F40" s="17" t="s">
        <v>300</v>
      </c>
      <c r="G40" s="17">
        <v>31</v>
      </c>
      <c r="H40" s="17">
        <v>31</v>
      </c>
      <c r="I40" s="17">
        <v>45.6</v>
      </c>
      <c r="J40" s="17">
        <v>45.2</v>
      </c>
      <c r="K40" s="17" t="s">
        <v>327</v>
      </c>
      <c r="L40" s="17" t="str">
        <f>INDEX(Vendors!$B$2:$B$13,MATCH(C40,Vendors!$A$2:$A$13,0))</f>
        <v>Cascade Creamery Supply</v>
      </c>
      <c r="M40" s="18">
        <f t="shared" si="4"/>
        <v>0</v>
      </c>
      <c r="N40" s="18">
        <f t="shared" si="5"/>
        <v>1</v>
      </c>
      <c r="O40" s="19">
        <f t="shared" si="6"/>
        <v>-8.7719298245613718E-3</v>
      </c>
      <c r="P40" s="18">
        <f t="shared" si="7"/>
        <v>3</v>
      </c>
    </row>
    <row r="41" spans="1:16" x14ac:dyDescent="0.25">
      <c r="A41" s="17">
        <v>235</v>
      </c>
      <c r="B41" s="17" t="s">
        <v>328</v>
      </c>
      <c r="C41" s="17">
        <v>15</v>
      </c>
      <c r="D41" s="17" t="s">
        <v>154</v>
      </c>
      <c r="E41" s="17" t="s">
        <v>321</v>
      </c>
      <c r="F41" s="17" t="s">
        <v>318</v>
      </c>
      <c r="G41" s="17">
        <v>113</v>
      </c>
      <c r="H41" s="17">
        <v>113</v>
      </c>
      <c r="I41" s="17">
        <v>2601.3000000000002</v>
      </c>
      <c r="J41" s="17">
        <v>2622.2</v>
      </c>
      <c r="K41" s="17" t="s">
        <v>329</v>
      </c>
      <c r="L41" s="17" t="str">
        <f>INDEX(Vendors!$B$2:$B$13,MATCH(C41,Vendors!$A$2:$A$13,0))</f>
        <v>Heritage Farms Dairy</v>
      </c>
      <c r="M41" s="18">
        <f t="shared" si="4"/>
        <v>1</v>
      </c>
      <c r="N41" s="18">
        <f t="shared" si="5"/>
        <v>1</v>
      </c>
      <c r="O41" s="19">
        <f t="shared" si="6"/>
        <v>8.0344443163032457E-3</v>
      </c>
      <c r="P41" s="18">
        <f t="shared" si="7"/>
        <v>3</v>
      </c>
    </row>
    <row r="42" spans="1:16" x14ac:dyDescent="0.25">
      <c r="A42" s="17">
        <v>236</v>
      </c>
      <c r="B42" s="17" t="s">
        <v>330</v>
      </c>
      <c r="C42" s="17">
        <v>14</v>
      </c>
      <c r="D42" s="17" t="s">
        <v>113</v>
      </c>
      <c r="E42" s="17" t="s">
        <v>321</v>
      </c>
      <c r="F42" s="17" t="s">
        <v>321</v>
      </c>
      <c r="G42" s="17">
        <v>118</v>
      </c>
      <c r="H42" s="17">
        <v>118</v>
      </c>
      <c r="I42" s="17">
        <v>836.6</v>
      </c>
      <c r="J42" s="17">
        <v>822.8</v>
      </c>
      <c r="K42" s="17" t="s">
        <v>331</v>
      </c>
      <c r="L42" s="17" t="str">
        <f>INDEX(Vendors!$B$2:$B$13,MATCH(C42,Vendors!$A$2:$A$13,0))</f>
        <v>Cascade Creamery Supply</v>
      </c>
      <c r="M42" s="18">
        <f t="shared" si="4"/>
        <v>1</v>
      </c>
      <c r="N42" s="18">
        <f t="shared" si="5"/>
        <v>1</v>
      </c>
      <c r="O42" s="19">
        <f t="shared" si="6"/>
        <v>-1.6495338273966133E-2</v>
      </c>
      <c r="P42" s="18">
        <f t="shared" si="7"/>
        <v>3</v>
      </c>
    </row>
    <row r="43" spans="1:16" x14ac:dyDescent="0.25">
      <c r="A43" s="17">
        <v>237</v>
      </c>
      <c r="B43" s="17" t="s">
        <v>332</v>
      </c>
      <c r="C43" s="17">
        <v>17</v>
      </c>
      <c r="D43" s="17" t="s">
        <v>100</v>
      </c>
      <c r="E43" s="17" t="s">
        <v>315</v>
      </c>
      <c r="F43" s="17" t="s">
        <v>315</v>
      </c>
      <c r="G43" s="17">
        <v>77</v>
      </c>
      <c r="H43" s="17">
        <v>77</v>
      </c>
      <c r="I43" s="17">
        <v>894.7</v>
      </c>
      <c r="J43" s="17">
        <v>896.6</v>
      </c>
      <c r="K43" s="17" t="s">
        <v>333</v>
      </c>
      <c r="L43" s="17" t="str">
        <f>INDEX(Vendors!$B$2:$B$13,MATCH(C43,Vendors!$A$2:$A$13,0))</f>
        <v>Golden Valley Creamery</v>
      </c>
      <c r="M43" s="18">
        <f t="shared" si="4"/>
        <v>1</v>
      </c>
      <c r="N43" s="18">
        <f t="shared" si="5"/>
        <v>1</v>
      </c>
      <c r="O43" s="19">
        <f t="shared" si="6"/>
        <v>2.1236168548116434E-3</v>
      </c>
      <c r="P43" s="18">
        <f t="shared" si="7"/>
        <v>3</v>
      </c>
    </row>
    <row r="44" spans="1:16" x14ac:dyDescent="0.25">
      <c r="A44" s="17">
        <v>238</v>
      </c>
      <c r="B44" s="17" t="s">
        <v>334</v>
      </c>
      <c r="C44" s="17">
        <v>17</v>
      </c>
      <c r="D44" s="17" t="s">
        <v>139</v>
      </c>
      <c r="E44" s="17" t="s">
        <v>321</v>
      </c>
      <c r="F44" s="17" t="s">
        <v>321</v>
      </c>
      <c r="G44" s="17">
        <v>38</v>
      </c>
      <c r="H44" s="17">
        <v>33</v>
      </c>
      <c r="I44" s="17">
        <v>65.7</v>
      </c>
      <c r="J44" s="17">
        <v>65.2</v>
      </c>
      <c r="K44" s="17" t="s">
        <v>335</v>
      </c>
      <c r="L44" s="17" t="str">
        <f>INDEX(Vendors!$B$2:$B$13,MATCH(C44,Vendors!$A$2:$A$13,0))</f>
        <v>Golden Valley Creamery</v>
      </c>
      <c r="M44" s="18">
        <f t="shared" si="4"/>
        <v>1</v>
      </c>
      <c r="N44" s="18">
        <f t="shared" si="5"/>
        <v>0</v>
      </c>
      <c r="O44" s="19">
        <f t="shared" si="6"/>
        <v>-7.6103500761035003E-3</v>
      </c>
      <c r="P44" s="18">
        <f t="shared" si="7"/>
        <v>3</v>
      </c>
    </row>
    <row r="45" spans="1:16" x14ac:dyDescent="0.25">
      <c r="A45" s="17">
        <v>239</v>
      </c>
      <c r="B45" s="17" t="s">
        <v>336</v>
      </c>
      <c r="C45" s="17">
        <v>17</v>
      </c>
      <c r="D45" s="17" t="s">
        <v>132</v>
      </c>
      <c r="E45" s="17" t="s">
        <v>321</v>
      </c>
      <c r="F45" s="17" t="s">
        <v>321</v>
      </c>
      <c r="G45" s="17">
        <v>79</v>
      </c>
      <c r="H45" s="17">
        <v>79</v>
      </c>
      <c r="I45" s="17">
        <v>74.3</v>
      </c>
      <c r="J45" s="17">
        <v>72.900000000000006</v>
      </c>
      <c r="K45" s="17" t="s">
        <v>337</v>
      </c>
      <c r="L45" s="17" t="str">
        <f>INDEX(Vendors!$B$2:$B$13,MATCH(C45,Vendors!$A$2:$A$13,0))</f>
        <v>Golden Valley Creamery</v>
      </c>
      <c r="M45" s="18">
        <f t="shared" si="4"/>
        <v>1</v>
      </c>
      <c r="N45" s="18">
        <f t="shared" si="5"/>
        <v>1</v>
      </c>
      <c r="O45" s="19">
        <f t="shared" si="6"/>
        <v>-1.884253028263784E-2</v>
      </c>
      <c r="P45" s="18">
        <f t="shared" si="7"/>
        <v>3</v>
      </c>
    </row>
    <row r="46" spans="1:16" x14ac:dyDescent="0.25">
      <c r="A46" s="17">
        <v>240</v>
      </c>
      <c r="B46" s="17" t="s">
        <v>338</v>
      </c>
      <c r="C46" s="17">
        <v>21</v>
      </c>
      <c r="D46" s="17" t="s">
        <v>134</v>
      </c>
      <c r="E46" s="17" t="s">
        <v>176</v>
      </c>
      <c r="F46" s="17" t="s">
        <v>176</v>
      </c>
      <c r="G46" s="17">
        <v>124</v>
      </c>
      <c r="H46" s="17">
        <v>124</v>
      </c>
      <c r="I46" s="17">
        <v>2549.4</v>
      </c>
      <c r="J46" s="17">
        <v>2548.9</v>
      </c>
      <c r="K46" s="17" t="s">
        <v>339</v>
      </c>
      <c r="L46" s="17" t="str">
        <f>INDEX(Vendors!$B$2:$B$13,MATCH(C46,Vendors!$A$2:$A$13,0))</f>
        <v>Coastal Freight Distributors</v>
      </c>
      <c r="M46" s="18">
        <f t="shared" si="4"/>
        <v>1</v>
      </c>
      <c r="N46" s="18">
        <f t="shared" si="5"/>
        <v>1</v>
      </c>
      <c r="O46" s="19">
        <f t="shared" si="6"/>
        <v>-1.9612457833215657E-4</v>
      </c>
      <c r="P46" s="18">
        <f t="shared" si="7"/>
        <v>4</v>
      </c>
    </row>
    <row r="47" spans="1:16" x14ac:dyDescent="0.25">
      <c r="A47" s="17">
        <v>241</v>
      </c>
      <c r="B47" s="17" t="s">
        <v>340</v>
      </c>
      <c r="C47" s="17">
        <v>19</v>
      </c>
      <c r="D47" s="17" t="s">
        <v>132</v>
      </c>
      <c r="E47" s="17" t="s">
        <v>341</v>
      </c>
      <c r="F47" s="17" t="s">
        <v>341</v>
      </c>
      <c r="G47" s="17">
        <v>97</v>
      </c>
      <c r="H47" s="17">
        <v>97</v>
      </c>
      <c r="I47" s="17">
        <v>2144.6999999999998</v>
      </c>
      <c r="J47" s="17">
        <v>2113.8000000000002</v>
      </c>
      <c r="K47" s="17" t="s">
        <v>342</v>
      </c>
      <c r="L47" s="17" t="str">
        <f>INDEX(Vendors!$B$2:$B$13,MATCH(C47,Vendors!$A$2:$A$13,0))</f>
        <v>Northfield Dairy Ingredients</v>
      </c>
      <c r="M47" s="18">
        <f t="shared" si="4"/>
        <v>1</v>
      </c>
      <c r="N47" s="18">
        <f t="shared" si="5"/>
        <v>1</v>
      </c>
      <c r="O47" s="19">
        <f t="shared" si="6"/>
        <v>-1.4407609455867785E-2</v>
      </c>
      <c r="P47" s="18">
        <f t="shared" si="7"/>
        <v>4</v>
      </c>
    </row>
    <row r="48" spans="1:16" x14ac:dyDescent="0.25">
      <c r="A48" s="17">
        <v>242</v>
      </c>
      <c r="B48" s="17" t="s">
        <v>343</v>
      </c>
      <c r="C48" s="17">
        <v>18</v>
      </c>
      <c r="D48" s="17" t="s">
        <v>98</v>
      </c>
      <c r="E48" s="17" t="s">
        <v>315</v>
      </c>
      <c r="F48" s="17" t="s">
        <v>300</v>
      </c>
      <c r="G48" s="17">
        <v>120</v>
      </c>
      <c r="H48" s="17">
        <v>120</v>
      </c>
      <c r="I48" s="17">
        <v>308.39999999999998</v>
      </c>
      <c r="J48" s="17">
        <v>281.60000000000002</v>
      </c>
      <c r="K48" s="17" t="s">
        <v>344</v>
      </c>
      <c r="L48" s="17" t="str">
        <f>INDEX(Vendors!$B$2:$B$13,MATCH(C48,Vendors!$A$2:$A$13,0))</f>
        <v>Crestline Packaging Supply</v>
      </c>
      <c r="M48" s="18">
        <f t="shared" si="4"/>
        <v>1</v>
      </c>
      <c r="N48" s="18">
        <f t="shared" si="5"/>
        <v>1</v>
      </c>
      <c r="O48" s="19">
        <f t="shared" si="6"/>
        <v>-8.690012970168598E-2</v>
      </c>
      <c r="P48" s="18">
        <f t="shared" si="7"/>
        <v>3</v>
      </c>
    </row>
    <row r="49" spans="1:16" x14ac:dyDescent="0.25">
      <c r="A49" s="17">
        <v>243</v>
      </c>
      <c r="B49" s="17" t="s">
        <v>345</v>
      </c>
      <c r="C49" s="17">
        <v>23</v>
      </c>
      <c r="D49" s="17" t="s">
        <v>116</v>
      </c>
      <c r="E49" s="17" t="s">
        <v>341</v>
      </c>
      <c r="F49" s="17" t="s">
        <v>312</v>
      </c>
      <c r="G49" s="17">
        <v>21</v>
      </c>
      <c r="H49" s="17">
        <v>21</v>
      </c>
      <c r="I49" s="17">
        <v>91.6</v>
      </c>
      <c r="J49" s="17">
        <v>90.7</v>
      </c>
      <c r="K49" s="17" t="s">
        <v>346</v>
      </c>
      <c r="L49" s="17" t="str">
        <f>INDEX(Vendors!$B$2:$B$13,MATCH(C49,Vendors!$A$2:$A$13,0))</f>
        <v>PrecisionPack Supply Co.</v>
      </c>
      <c r="M49" s="18">
        <f t="shared" si="4"/>
        <v>1</v>
      </c>
      <c r="N49" s="18">
        <f t="shared" si="5"/>
        <v>1</v>
      </c>
      <c r="O49" s="19">
        <f t="shared" si="6"/>
        <v>-9.8253275109169372E-3</v>
      </c>
      <c r="P49" s="18">
        <f t="shared" si="7"/>
        <v>4</v>
      </c>
    </row>
    <row r="50" spans="1:16" x14ac:dyDescent="0.25">
      <c r="A50" s="17">
        <v>244</v>
      </c>
      <c r="B50" s="17" t="s">
        <v>347</v>
      </c>
      <c r="C50" s="17">
        <v>18</v>
      </c>
      <c r="D50" s="17" t="s">
        <v>134</v>
      </c>
      <c r="E50" s="17" t="s">
        <v>176</v>
      </c>
      <c r="F50" s="17" t="s">
        <v>315</v>
      </c>
      <c r="G50" s="17">
        <v>65</v>
      </c>
      <c r="H50" s="17">
        <v>65</v>
      </c>
      <c r="I50" s="17">
        <v>34.5</v>
      </c>
      <c r="J50" s="17">
        <v>34.5</v>
      </c>
      <c r="K50" s="17" t="s">
        <v>348</v>
      </c>
      <c r="L50" s="17" t="str">
        <f>INDEX(Vendors!$B$2:$B$13,MATCH(C50,Vendors!$A$2:$A$13,0))</f>
        <v>Crestline Packaging Supply</v>
      </c>
      <c r="M50" s="18">
        <f t="shared" si="4"/>
        <v>1</v>
      </c>
      <c r="N50" s="18">
        <f t="shared" si="5"/>
        <v>1</v>
      </c>
      <c r="O50" s="19">
        <f t="shared" si="6"/>
        <v>0</v>
      </c>
      <c r="P50" s="18">
        <f t="shared" si="7"/>
        <v>4</v>
      </c>
    </row>
    <row r="51" spans="1:16" x14ac:dyDescent="0.25">
      <c r="A51" s="17">
        <v>245</v>
      </c>
      <c r="B51" s="17" t="s">
        <v>349</v>
      </c>
      <c r="C51" s="17">
        <v>21</v>
      </c>
      <c r="D51" s="17" t="s">
        <v>141</v>
      </c>
      <c r="E51" s="17" t="s">
        <v>176</v>
      </c>
      <c r="F51" s="17" t="s">
        <v>176</v>
      </c>
      <c r="G51" s="17">
        <v>33</v>
      </c>
      <c r="H51" s="17">
        <v>33</v>
      </c>
      <c r="I51" s="17">
        <v>89.1</v>
      </c>
      <c r="J51" s="17">
        <v>87.5</v>
      </c>
      <c r="K51" s="17" t="s">
        <v>350</v>
      </c>
      <c r="L51" s="17" t="str">
        <f>INDEX(Vendors!$B$2:$B$13,MATCH(C51,Vendors!$A$2:$A$13,0))</f>
        <v>Coastal Freight Distributors</v>
      </c>
      <c r="M51" s="18">
        <f t="shared" si="4"/>
        <v>1</v>
      </c>
      <c r="N51" s="18">
        <f t="shared" si="5"/>
        <v>1</v>
      </c>
      <c r="O51" s="19">
        <f t="shared" si="6"/>
        <v>-1.7957351290684563E-2</v>
      </c>
      <c r="P51" s="18">
        <f t="shared" si="7"/>
        <v>4</v>
      </c>
    </row>
    <row r="52" spans="1:16" x14ac:dyDescent="0.25">
      <c r="A52" s="17">
        <v>246</v>
      </c>
      <c r="B52" s="17" t="s">
        <v>351</v>
      </c>
      <c r="C52" s="17">
        <v>13</v>
      </c>
      <c r="D52" s="17" t="s">
        <v>116</v>
      </c>
      <c r="E52" s="17" t="s">
        <v>352</v>
      </c>
      <c r="F52" s="17" t="s">
        <v>352</v>
      </c>
      <c r="G52" s="17">
        <v>159</v>
      </c>
      <c r="H52" s="17">
        <v>145</v>
      </c>
      <c r="I52" s="17">
        <v>3003.5</v>
      </c>
      <c r="J52" s="17">
        <v>3029.4</v>
      </c>
      <c r="K52" s="17" t="s">
        <v>353</v>
      </c>
      <c r="L52" s="17" t="str">
        <f>INDEX(Vendors!$B$2:$B$13,MATCH(C52,Vendors!$A$2:$A$13,0))</f>
        <v>Meadowbrook Dairy Co-op</v>
      </c>
      <c r="M52" s="18">
        <f t="shared" si="4"/>
        <v>1</v>
      </c>
      <c r="N52" s="18">
        <f t="shared" si="5"/>
        <v>0</v>
      </c>
      <c r="O52" s="19">
        <f t="shared" si="6"/>
        <v>8.6232728483436293E-3</v>
      </c>
      <c r="P52" s="18">
        <f t="shared" si="7"/>
        <v>5</v>
      </c>
    </row>
    <row r="53" spans="1:16" x14ac:dyDescent="0.25">
      <c r="A53" s="17">
        <v>247</v>
      </c>
      <c r="B53" s="17" t="s">
        <v>354</v>
      </c>
      <c r="C53" s="17">
        <v>22</v>
      </c>
      <c r="D53" s="17" t="s">
        <v>123</v>
      </c>
      <c r="E53" s="17" t="s">
        <v>355</v>
      </c>
      <c r="F53" s="17" t="s">
        <v>177</v>
      </c>
      <c r="G53" s="17">
        <v>48</v>
      </c>
      <c r="H53" s="17">
        <v>48</v>
      </c>
      <c r="I53" s="17">
        <v>751.7</v>
      </c>
      <c r="J53" s="17">
        <v>761.5</v>
      </c>
      <c r="K53" s="17" t="s">
        <v>356</v>
      </c>
      <c r="L53" s="17" t="str">
        <f>INDEX(Vendors!$B$2:$B$13,MATCH(C53,Vendors!$A$2:$A$13,0))</f>
        <v>Sunrise Dairy Cooperative</v>
      </c>
      <c r="M53" s="18">
        <f t="shared" si="4"/>
        <v>1</v>
      </c>
      <c r="N53" s="18">
        <f t="shared" si="5"/>
        <v>1</v>
      </c>
      <c r="O53" s="19">
        <f t="shared" si="6"/>
        <v>1.3037115870693035E-2</v>
      </c>
      <c r="P53" s="18">
        <f t="shared" si="7"/>
        <v>5</v>
      </c>
    </row>
    <row r="54" spans="1:16" x14ac:dyDescent="0.25">
      <c r="A54" s="17">
        <v>248</v>
      </c>
      <c r="B54" s="17" t="s">
        <v>357</v>
      </c>
      <c r="C54" s="17">
        <v>24</v>
      </c>
      <c r="D54" s="17" t="s">
        <v>159</v>
      </c>
      <c r="E54" s="17" t="s">
        <v>295</v>
      </c>
      <c r="F54" s="17" t="s">
        <v>295</v>
      </c>
      <c r="G54" s="17">
        <v>144</v>
      </c>
      <c r="H54" s="17">
        <v>144</v>
      </c>
      <c r="I54" s="17">
        <v>2077.9</v>
      </c>
      <c r="J54" s="17">
        <v>1666.7</v>
      </c>
      <c r="K54" s="17" t="s">
        <v>358</v>
      </c>
      <c r="L54" s="17" t="str">
        <f>INDEX(Vendors!$B$2:$B$13,MATCH(C54,Vendors!$A$2:$A$13,0))</f>
        <v>Budget Dairy Wholesale</v>
      </c>
      <c r="M54" s="18">
        <f t="shared" si="4"/>
        <v>1</v>
      </c>
      <c r="N54" s="18">
        <f t="shared" si="5"/>
        <v>1</v>
      </c>
      <c r="O54" s="19">
        <f t="shared" si="6"/>
        <v>-0.19789210260359016</v>
      </c>
      <c r="P54" s="18">
        <f t="shared" si="7"/>
        <v>4</v>
      </c>
    </row>
    <row r="55" spans="1:16" x14ac:dyDescent="0.25">
      <c r="A55" s="17">
        <v>249</v>
      </c>
      <c r="B55" s="17" t="s">
        <v>359</v>
      </c>
      <c r="C55" s="17">
        <v>23</v>
      </c>
      <c r="D55" s="17" t="s">
        <v>136</v>
      </c>
      <c r="E55" s="17" t="s">
        <v>360</v>
      </c>
      <c r="F55" s="17" t="s">
        <v>360</v>
      </c>
      <c r="G55" s="17">
        <v>44</v>
      </c>
      <c r="H55" s="17">
        <v>44</v>
      </c>
      <c r="I55" s="17">
        <v>1056.4000000000001</v>
      </c>
      <c r="J55" s="17">
        <v>1054.3</v>
      </c>
      <c r="K55" s="17" t="s">
        <v>361</v>
      </c>
      <c r="L55" s="17" t="str">
        <f>INDEX(Vendors!$B$2:$B$13,MATCH(C55,Vendors!$A$2:$A$13,0))</f>
        <v>PrecisionPack Supply Co.</v>
      </c>
      <c r="M55" s="18">
        <f t="shared" si="4"/>
        <v>1</v>
      </c>
      <c r="N55" s="18">
        <f t="shared" si="5"/>
        <v>1</v>
      </c>
      <c r="O55" s="19">
        <f t="shared" si="6"/>
        <v>-1.9878833775086487E-3</v>
      </c>
      <c r="P55" s="18">
        <f t="shared" si="7"/>
        <v>4</v>
      </c>
    </row>
    <row r="56" spans="1:16" x14ac:dyDescent="0.25">
      <c r="A56" s="17">
        <v>250</v>
      </c>
      <c r="B56" s="17" t="s">
        <v>362</v>
      </c>
      <c r="C56" s="17">
        <v>13</v>
      </c>
      <c r="D56" s="17" t="s">
        <v>141</v>
      </c>
      <c r="E56" s="17" t="s">
        <v>177</v>
      </c>
      <c r="F56" s="17" t="s">
        <v>177</v>
      </c>
      <c r="G56" s="17">
        <v>135</v>
      </c>
      <c r="H56" s="17">
        <v>135</v>
      </c>
      <c r="I56" s="17">
        <v>1579.5</v>
      </c>
      <c r="J56" s="17">
        <v>1606.8</v>
      </c>
      <c r="K56" s="17" t="s">
        <v>363</v>
      </c>
      <c r="L56" s="17" t="str">
        <f>INDEX(Vendors!$B$2:$B$13,MATCH(C56,Vendors!$A$2:$A$13,0))</f>
        <v>Meadowbrook Dairy Co-op</v>
      </c>
      <c r="M56" s="18">
        <f t="shared" si="4"/>
        <v>1</v>
      </c>
      <c r="N56" s="18">
        <f t="shared" si="5"/>
        <v>1</v>
      </c>
      <c r="O56" s="19">
        <f t="shared" si="6"/>
        <v>1.7283950617283921E-2</v>
      </c>
      <c r="P56" s="18">
        <f t="shared" si="7"/>
        <v>5</v>
      </c>
    </row>
    <row r="57" spans="1:16" x14ac:dyDescent="0.25">
      <c r="A57" s="17">
        <v>251</v>
      </c>
      <c r="B57" s="17" t="s">
        <v>364</v>
      </c>
      <c r="C57" s="17">
        <v>21</v>
      </c>
      <c r="D57" s="17" t="s">
        <v>100</v>
      </c>
      <c r="E57" s="17" t="s">
        <v>360</v>
      </c>
      <c r="F57" s="17" t="s">
        <v>311</v>
      </c>
      <c r="G57" s="17">
        <v>74</v>
      </c>
      <c r="H57" s="17">
        <v>74</v>
      </c>
      <c r="I57" s="17">
        <v>1571</v>
      </c>
      <c r="J57" s="17">
        <v>1587.1</v>
      </c>
      <c r="K57" s="17" t="s">
        <v>365</v>
      </c>
      <c r="L57" s="17" t="str">
        <f>INDEX(Vendors!$B$2:$B$13,MATCH(C57,Vendors!$A$2:$A$13,0))</f>
        <v>Coastal Freight Distributors</v>
      </c>
      <c r="M57" s="18">
        <f t="shared" si="4"/>
        <v>1</v>
      </c>
      <c r="N57" s="18">
        <f t="shared" si="5"/>
        <v>1</v>
      </c>
      <c r="O57" s="19">
        <f t="shared" si="6"/>
        <v>1.0248249522597013E-2</v>
      </c>
      <c r="P57" s="18">
        <f t="shared" si="7"/>
        <v>4</v>
      </c>
    </row>
    <row r="58" spans="1:16" x14ac:dyDescent="0.25">
      <c r="A58" s="17">
        <v>252</v>
      </c>
      <c r="B58" s="17" t="s">
        <v>366</v>
      </c>
      <c r="C58" s="17">
        <v>16</v>
      </c>
      <c r="D58" s="17" t="s">
        <v>147</v>
      </c>
      <c r="E58" s="17" t="s">
        <v>355</v>
      </c>
      <c r="F58" s="17" t="s">
        <v>177</v>
      </c>
      <c r="G58" s="17">
        <v>29</v>
      </c>
      <c r="H58" s="17">
        <v>29</v>
      </c>
      <c r="I58" s="17">
        <v>500.2</v>
      </c>
      <c r="J58" s="17">
        <v>502.5</v>
      </c>
      <c r="K58" s="17" t="s">
        <v>367</v>
      </c>
      <c r="L58" s="17" t="str">
        <f>INDEX(Vendors!$B$2:$B$13,MATCH(C58,Vendors!$A$2:$A$13,0))</f>
        <v>Bluegrass Milk Producers</v>
      </c>
      <c r="M58" s="18">
        <f t="shared" si="4"/>
        <v>1</v>
      </c>
      <c r="N58" s="18">
        <f t="shared" si="5"/>
        <v>1</v>
      </c>
      <c r="O58" s="19">
        <f t="shared" si="6"/>
        <v>4.5981607357057407E-3</v>
      </c>
      <c r="P58" s="18">
        <f t="shared" si="7"/>
        <v>5</v>
      </c>
    </row>
    <row r="59" spans="1:16" x14ac:dyDescent="0.25">
      <c r="A59" s="17">
        <v>253</v>
      </c>
      <c r="B59" s="17" t="s">
        <v>368</v>
      </c>
      <c r="C59" s="17">
        <v>23</v>
      </c>
      <c r="D59" s="17" t="s">
        <v>109</v>
      </c>
      <c r="E59" s="17" t="s">
        <v>311</v>
      </c>
      <c r="F59" s="17" t="s">
        <v>295</v>
      </c>
      <c r="G59" s="17">
        <v>75</v>
      </c>
      <c r="H59" s="17">
        <v>75</v>
      </c>
      <c r="I59" s="17">
        <v>1311</v>
      </c>
      <c r="J59" s="17">
        <v>1291.8</v>
      </c>
      <c r="K59" s="17" t="s">
        <v>369</v>
      </c>
      <c r="L59" s="17" t="str">
        <f>INDEX(Vendors!$B$2:$B$13,MATCH(C59,Vendors!$A$2:$A$13,0))</f>
        <v>PrecisionPack Supply Co.</v>
      </c>
      <c r="M59" s="18">
        <f t="shared" si="4"/>
        <v>1</v>
      </c>
      <c r="N59" s="18">
        <f t="shared" si="5"/>
        <v>1</v>
      </c>
      <c r="O59" s="19">
        <f t="shared" si="6"/>
        <v>-1.4645308924485161E-2</v>
      </c>
      <c r="P59" s="18">
        <f t="shared" si="7"/>
        <v>4</v>
      </c>
    </row>
    <row r="60" spans="1:16" x14ac:dyDescent="0.25">
      <c r="A60" s="17">
        <v>254</v>
      </c>
      <c r="B60" s="17" t="s">
        <v>370</v>
      </c>
      <c r="C60" s="17">
        <v>20</v>
      </c>
      <c r="D60" s="17" t="s">
        <v>98</v>
      </c>
      <c r="E60" s="17" t="s">
        <v>371</v>
      </c>
      <c r="F60" s="17" t="s">
        <v>371</v>
      </c>
      <c r="G60" s="17">
        <v>187</v>
      </c>
      <c r="H60" s="17">
        <v>187</v>
      </c>
      <c r="I60" s="17">
        <v>2337.5</v>
      </c>
      <c r="J60" s="17">
        <v>2317.4</v>
      </c>
      <c r="K60" s="17" t="s">
        <v>372</v>
      </c>
      <c r="L60" s="17" t="str">
        <f>INDEX(Vendors!$B$2:$B$13,MATCH(C60,Vendors!$A$2:$A$13,0))</f>
        <v>Ridgeway Cold Storage Logistics</v>
      </c>
      <c r="M60" s="18">
        <f t="shared" si="4"/>
        <v>1</v>
      </c>
      <c r="N60" s="18">
        <f t="shared" si="5"/>
        <v>1</v>
      </c>
      <c r="O60" s="19">
        <f t="shared" si="6"/>
        <v>-8.5989304812833841E-3</v>
      </c>
      <c r="P60" s="18">
        <f t="shared" si="7"/>
        <v>4</v>
      </c>
    </row>
    <row r="61" spans="1:16" x14ac:dyDescent="0.25">
      <c r="A61" s="17">
        <v>255</v>
      </c>
      <c r="B61" s="17" t="s">
        <v>373</v>
      </c>
      <c r="C61" s="17">
        <v>20</v>
      </c>
      <c r="D61" s="17" t="s">
        <v>127</v>
      </c>
      <c r="E61" s="17" t="s">
        <v>295</v>
      </c>
      <c r="F61" s="17" t="s">
        <v>341</v>
      </c>
      <c r="G61" s="17">
        <v>61</v>
      </c>
      <c r="H61" s="17">
        <v>61</v>
      </c>
      <c r="I61" s="17">
        <v>158.6</v>
      </c>
      <c r="J61" s="17">
        <v>157.30000000000001</v>
      </c>
      <c r="K61" s="17" t="s">
        <v>374</v>
      </c>
      <c r="L61" s="17" t="str">
        <f>INDEX(Vendors!$B$2:$B$13,MATCH(C61,Vendors!$A$2:$A$13,0))</f>
        <v>Ridgeway Cold Storage Logistics</v>
      </c>
      <c r="M61" s="18">
        <f t="shared" si="4"/>
        <v>0</v>
      </c>
      <c r="N61" s="18">
        <f t="shared" si="5"/>
        <v>1</v>
      </c>
      <c r="O61" s="19">
        <f t="shared" si="6"/>
        <v>-8.1967213114753027E-3</v>
      </c>
      <c r="P61" s="18">
        <f t="shared" si="7"/>
        <v>4</v>
      </c>
    </row>
    <row r="62" spans="1:16" x14ac:dyDescent="0.25">
      <c r="A62" s="17">
        <v>256</v>
      </c>
      <c r="B62" s="17" t="s">
        <v>375</v>
      </c>
      <c r="C62" s="17">
        <v>14</v>
      </c>
      <c r="D62" s="17" t="s">
        <v>154</v>
      </c>
      <c r="E62" s="17" t="s">
        <v>177</v>
      </c>
      <c r="F62" s="17" t="s">
        <v>376</v>
      </c>
      <c r="G62" s="17">
        <v>78</v>
      </c>
      <c r="H62" s="17">
        <v>78</v>
      </c>
      <c r="I62" s="17">
        <v>1790.9</v>
      </c>
      <c r="J62" s="17">
        <v>1450.1</v>
      </c>
      <c r="K62" s="17" t="s">
        <v>377</v>
      </c>
      <c r="L62" s="17" t="str">
        <f>INDEX(Vendors!$B$2:$B$13,MATCH(C62,Vendors!$A$2:$A$13,0))</f>
        <v>Cascade Creamery Supply</v>
      </c>
      <c r="M62" s="18">
        <f t="shared" si="4"/>
        <v>0</v>
      </c>
      <c r="N62" s="18">
        <f t="shared" si="5"/>
        <v>1</v>
      </c>
      <c r="O62" s="19">
        <f t="shared" si="6"/>
        <v>-0.19029538221006206</v>
      </c>
      <c r="P62" s="18">
        <f t="shared" si="7"/>
        <v>5</v>
      </c>
    </row>
    <row r="63" spans="1:16" x14ac:dyDescent="0.25">
      <c r="A63" s="17">
        <v>257</v>
      </c>
      <c r="B63" s="17" t="s">
        <v>378</v>
      </c>
      <c r="C63" s="17">
        <v>15</v>
      </c>
      <c r="D63" s="17" t="s">
        <v>147</v>
      </c>
      <c r="E63" s="17" t="s">
        <v>376</v>
      </c>
      <c r="F63" s="17" t="s">
        <v>379</v>
      </c>
      <c r="G63" s="17">
        <v>43</v>
      </c>
      <c r="H63" s="17">
        <v>43</v>
      </c>
      <c r="I63" s="17">
        <v>687.1</v>
      </c>
      <c r="J63" s="17">
        <v>676.5</v>
      </c>
      <c r="K63" s="17" t="s">
        <v>380</v>
      </c>
      <c r="L63" s="17" t="str">
        <f>INDEX(Vendors!$B$2:$B$13,MATCH(C63,Vendors!$A$2:$A$13,0))</f>
        <v>Heritage Farms Dairy</v>
      </c>
      <c r="M63" s="18">
        <f t="shared" si="4"/>
        <v>1</v>
      </c>
      <c r="N63" s="18">
        <f t="shared" si="5"/>
        <v>1</v>
      </c>
      <c r="O63" s="19">
        <f t="shared" si="6"/>
        <v>-1.5427157618978346E-2</v>
      </c>
      <c r="P63" s="18">
        <f t="shared" si="7"/>
        <v>5</v>
      </c>
    </row>
    <row r="64" spans="1:16" x14ac:dyDescent="0.25">
      <c r="A64" s="17">
        <v>258</v>
      </c>
      <c r="B64" s="17" t="s">
        <v>381</v>
      </c>
      <c r="C64" s="17">
        <v>18</v>
      </c>
      <c r="D64" s="17" t="s">
        <v>111</v>
      </c>
      <c r="E64" s="17" t="s">
        <v>355</v>
      </c>
      <c r="F64" s="17" t="s">
        <v>382</v>
      </c>
      <c r="G64" s="17">
        <v>110</v>
      </c>
      <c r="H64" s="17">
        <v>110</v>
      </c>
      <c r="I64" s="17">
        <v>64.900000000000006</v>
      </c>
      <c r="J64" s="17">
        <v>64.8</v>
      </c>
      <c r="K64" s="17" t="s">
        <v>383</v>
      </c>
      <c r="L64" s="17" t="str">
        <f>INDEX(Vendors!$B$2:$B$13,MATCH(C64,Vendors!$A$2:$A$13,0))</f>
        <v>Crestline Packaging Supply</v>
      </c>
      <c r="M64" s="18">
        <f t="shared" si="4"/>
        <v>0</v>
      </c>
      <c r="N64" s="18">
        <f t="shared" si="5"/>
        <v>1</v>
      </c>
      <c r="O64" s="19">
        <f t="shared" si="6"/>
        <v>-1.5408320493067568E-3</v>
      </c>
      <c r="P64" s="18">
        <f t="shared" si="7"/>
        <v>5</v>
      </c>
    </row>
    <row r="65" spans="1:16" x14ac:dyDescent="0.25">
      <c r="A65" s="17">
        <v>259</v>
      </c>
      <c r="B65" s="17" t="s">
        <v>384</v>
      </c>
      <c r="C65" s="17">
        <v>17</v>
      </c>
      <c r="D65" s="17" t="s">
        <v>147</v>
      </c>
      <c r="E65" s="17" t="s">
        <v>379</v>
      </c>
      <c r="F65" s="17" t="s">
        <v>352</v>
      </c>
      <c r="G65" s="17">
        <v>90</v>
      </c>
      <c r="H65" s="17">
        <v>90</v>
      </c>
      <c r="I65" s="17">
        <v>775.8</v>
      </c>
      <c r="J65" s="17">
        <v>770.8</v>
      </c>
      <c r="K65" s="17" t="s">
        <v>385</v>
      </c>
      <c r="L65" s="17" t="str">
        <f>INDEX(Vendors!$B$2:$B$13,MATCH(C65,Vendors!$A$2:$A$13,0))</f>
        <v>Golden Valley Creamery</v>
      </c>
      <c r="M65" s="18">
        <f t="shared" si="4"/>
        <v>1</v>
      </c>
      <c r="N65" s="18">
        <f t="shared" si="5"/>
        <v>1</v>
      </c>
      <c r="O65" s="19">
        <f t="shared" si="6"/>
        <v>-6.4449600412477444E-3</v>
      </c>
      <c r="P65" s="18">
        <f t="shared" si="7"/>
        <v>5</v>
      </c>
    </row>
    <row r="66" spans="1:16" x14ac:dyDescent="0.25">
      <c r="A66" s="17">
        <v>260</v>
      </c>
      <c r="B66" s="17" t="s">
        <v>386</v>
      </c>
      <c r="C66" s="17">
        <v>19</v>
      </c>
      <c r="D66" s="17" t="s">
        <v>102</v>
      </c>
      <c r="E66" s="17" t="s">
        <v>382</v>
      </c>
      <c r="F66" s="17" t="s">
        <v>376</v>
      </c>
      <c r="G66" s="17">
        <v>74</v>
      </c>
      <c r="H66" s="17">
        <v>74</v>
      </c>
      <c r="I66" s="17">
        <v>749.6</v>
      </c>
      <c r="J66" s="17">
        <v>657.1</v>
      </c>
      <c r="K66" s="17" t="s">
        <v>387</v>
      </c>
      <c r="L66" s="17" t="str">
        <f>INDEX(Vendors!$B$2:$B$13,MATCH(C66,Vendors!$A$2:$A$13,0))</f>
        <v>Northfield Dairy Ingredients</v>
      </c>
      <c r="M66" s="18">
        <f t="shared" ref="M66:M97" si="8">IF(F66&lt;=E66,1,0)</f>
        <v>1</v>
      </c>
      <c r="N66" s="18">
        <f t="shared" ref="N66:N97" si="9">IF(H66=G66,1,0)</f>
        <v>1</v>
      </c>
      <c r="O66" s="19">
        <f t="shared" ref="O66:O97" si="10">IF(I66=0,0,(J66-I66)/I66)</f>
        <v>-0.12339914621131269</v>
      </c>
      <c r="P66" s="18">
        <f t="shared" ref="P66:P97" si="11">INT((DATEVALUE(E66)-DATE(2026,4,6))/7)</f>
        <v>5</v>
      </c>
    </row>
    <row r="67" spans="1:16" x14ac:dyDescent="0.25">
      <c r="A67" s="17">
        <v>261</v>
      </c>
      <c r="B67" s="17" t="s">
        <v>388</v>
      </c>
      <c r="C67" s="17">
        <v>18</v>
      </c>
      <c r="D67" s="17" t="s">
        <v>161</v>
      </c>
      <c r="E67" s="17" t="s">
        <v>355</v>
      </c>
      <c r="F67" s="17" t="s">
        <v>389</v>
      </c>
      <c r="G67" s="17">
        <v>22</v>
      </c>
      <c r="H67" s="17">
        <v>22</v>
      </c>
      <c r="I67" s="17">
        <v>38.700000000000003</v>
      </c>
      <c r="J67" s="17">
        <v>38.9</v>
      </c>
      <c r="K67" s="17" t="s">
        <v>390</v>
      </c>
      <c r="L67" s="17" t="str">
        <f>INDEX(Vendors!$B$2:$B$13,MATCH(C67,Vendors!$A$2:$A$13,0))</f>
        <v>Crestline Packaging Supply</v>
      </c>
      <c r="M67" s="18">
        <f t="shared" si="8"/>
        <v>0</v>
      </c>
      <c r="N67" s="18">
        <f t="shared" si="9"/>
        <v>1</v>
      </c>
      <c r="O67" s="19">
        <f t="shared" si="10"/>
        <v>5.1679586563306385E-3</v>
      </c>
      <c r="P67" s="18">
        <f t="shared" si="11"/>
        <v>5</v>
      </c>
    </row>
    <row r="68" spans="1:16" x14ac:dyDescent="0.25">
      <c r="A68" s="17">
        <v>262</v>
      </c>
      <c r="B68" s="17" t="s">
        <v>391</v>
      </c>
      <c r="C68" s="17">
        <v>15</v>
      </c>
      <c r="D68" s="17" t="s">
        <v>111</v>
      </c>
      <c r="E68" s="17" t="s">
        <v>352</v>
      </c>
      <c r="F68" s="17" t="s">
        <v>355</v>
      </c>
      <c r="G68" s="17">
        <v>58</v>
      </c>
      <c r="H68" s="17">
        <v>58</v>
      </c>
      <c r="I68" s="17">
        <v>1144.9000000000001</v>
      </c>
      <c r="J68" s="17">
        <v>1123.3</v>
      </c>
      <c r="K68" s="17" t="s">
        <v>392</v>
      </c>
      <c r="L68" s="17" t="str">
        <f>INDEX(Vendors!$B$2:$B$13,MATCH(C68,Vendors!$A$2:$A$13,0))</f>
        <v>Heritage Farms Dairy</v>
      </c>
      <c r="M68" s="18">
        <f t="shared" si="8"/>
        <v>1</v>
      </c>
      <c r="N68" s="18">
        <f t="shared" si="9"/>
        <v>1</v>
      </c>
      <c r="O68" s="19">
        <f t="shared" si="10"/>
        <v>-1.8866276530701487E-2</v>
      </c>
      <c r="P68" s="18">
        <f t="shared" si="11"/>
        <v>5</v>
      </c>
    </row>
    <row r="69" spans="1:16" x14ac:dyDescent="0.25">
      <c r="A69" s="17">
        <v>263</v>
      </c>
      <c r="B69" s="17" t="s">
        <v>393</v>
      </c>
      <c r="C69" s="17">
        <v>23</v>
      </c>
      <c r="D69" s="17" t="s">
        <v>123</v>
      </c>
      <c r="E69" s="17" t="s">
        <v>394</v>
      </c>
      <c r="F69" s="17" t="s">
        <v>394</v>
      </c>
      <c r="G69" s="17">
        <v>22</v>
      </c>
      <c r="H69" s="17">
        <v>22</v>
      </c>
      <c r="I69" s="17">
        <v>232.5</v>
      </c>
      <c r="J69" s="17">
        <v>229.1</v>
      </c>
      <c r="K69" s="17" t="s">
        <v>395</v>
      </c>
      <c r="L69" s="17" t="str">
        <f>INDEX(Vendors!$B$2:$B$13,MATCH(C69,Vendors!$A$2:$A$13,0))</f>
        <v>PrecisionPack Supply Co.</v>
      </c>
      <c r="M69" s="18">
        <f t="shared" si="8"/>
        <v>1</v>
      </c>
      <c r="N69" s="18">
        <f t="shared" si="9"/>
        <v>1</v>
      </c>
      <c r="O69" s="19">
        <f t="shared" si="10"/>
        <v>-1.4623655913978519E-2</v>
      </c>
      <c r="P69" s="18">
        <f t="shared" si="11"/>
        <v>5</v>
      </c>
    </row>
    <row r="70" spans="1:16" x14ac:dyDescent="0.25">
      <c r="A70" s="17">
        <v>264</v>
      </c>
      <c r="B70" s="17" t="s">
        <v>396</v>
      </c>
      <c r="C70" s="17">
        <v>17</v>
      </c>
      <c r="D70" s="17" t="s">
        <v>130</v>
      </c>
      <c r="E70" s="17" t="s">
        <v>352</v>
      </c>
      <c r="F70" s="17" t="s">
        <v>352</v>
      </c>
      <c r="G70" s="17">
        <v>53</v>
      </c>
      <c r="H70" s="17">
        <v>53</v>
      </c>
      <c r="I70" s="17">
        <v>472.8</v>
      </c>
      <c r="J70" s="17">
        <v>477.3</v>
      </c>
      <c r="K70" s="17" t="s">
        <v>397</v>
      </c>
      <c r="L70" s="17" t="str">
        <f>INDEX(Vendors!$B$2:$B$13,MATCH(C70,Vendors!$A$2:$A$13,0))</f>
        <v>Golden Valley Creamery</v>
      </c>
      <c r="M70" s="18">
        <f t="shared" si="8"/>
        <v>1</v>
      </c>
      <c r="N70" s="18">
        <f t="shared" si="9"/>
        <v>1</v>
      </c>
      <c r="O70" s="19">
        <f t="shared" si="10"/>
        <v>9.517766497461928E-3</v>
      </c>
      <c r="P70" s="18">
        <f t="shared" si="11"/>
        <v>5</v>
      </c>
    </row>
    <row r="71" spans="1:16" x14ac:dyDescent="0.25">
      <c r="A71" s="17">
        <v>265</v>
      </c>
      <c r="B71" s="17" t="s">
        <v>398</v>
      </c>
      <c r="C71" s="17">
        <v>23</v>
      </c>
      <c r="D71" s="17" t="s">
        <v>113</v>
      </c>
      <c r="E71" s="17" t="s">
        <v>382</v>
      </c>
      <c r="F71" s="17" t="s">
        <v>376</v>
      </c>
      <c r="G71" s="17">
        <v>133</v>
      </c>
      <c r="H71" s="17">
        <v>133</v>
      </c>
      <c r="I71" s="17">
        <v>1351.3</v>
      </c>
      <c r="J71" s="17">
        <v>1333</v>
      </c>
      <c r="K71" s="17" t="s">
        <v>399</v>
      </c>
      <c r="L71" s="17" t="str">
        <f>INDEX(Vendors!$B$2:$B$13,MATCH(C71,Vendors!$A$2:$A$13,0))</f>
        <v>PrecisionPack Supply Co.</v>
      </c>
      <c r="M71" s="18">
        <f t="shared" si="8"/>
        <v>1</v>
      </c>
      <c r="N71" s="18">
        <f t="shared" si="9"/>
        <v>1</v>
      </c>
      <c r="O71" s="19">
        <f t="shared" si="10"/>
        <v>-1.3542514615555359E-2</v>
      </c>
      <c r="P71" s="18">
        <f t="shared" si="11"/>
        <v>5</v>
      </c>
    </row>
    <row r="72" spans="1:16" x14ac:dyDescent="0.25">
      <c r="A72" s="17">
        <v>266</v>
      </c>
      <c r="B72" s="17" t="s">
        <v>400</v>
      </c>
      <c r="C72" s="17">
        <v>16</v>
      </c>
      <c r="D72" s="17" t="s">
        <v>132</v>
      </c>
      <c r="E72" s="17" t="s">
        <v>389</v>
      </c>
      <c r="F72" s="17" t="s">
        <v>178</v>
      </c>
      <c r="G72" s="17">
        <v>95</v>
      </c>
      <c r="H72" s="17">
        <v>87</v>
      </c>
      <c r="I72" s="17">
        <v>1042.2</v>
      </c>
      <c r="J72" s="17">
        <v>1031.5</v>
      </c>
      <c r="K72" s="17" t="s">
        <v>401</v>
      </c>
      <c r="L72" s="17" t="str">
        <f>INDEX(Vendors!$B$2:$B$13,MATCH(C72,Vendors!$A$2:$A$13,0))</f>
        <v>Bluegrass Milk Producers</v>
      </c>
      <c r="M72" s="18">
        <f t="shared" si="8"/>
        <v>1</v>
      </c>
      <c r="N72" s="18">
        <f t="shared" si="9"/>
        <v>0</v>
      </c>
      <c r="O72" s="19">
        <f t="shared" si="10"/>
        <v>-1.0266743427365232E-2</v>
      </c>
      <c r="P72" s="18">
        <f t="shared" si="11"/>
        <v>6</v>
      </c>
    </row>
    <row r="73" spans="1:16" x14ac:dyDescent="0.25">
      <c r="A73" s="17">
        <v>267</v>
      </c>
      <c r="B73" s="17" t="s">
        <v>402</v>
      </c>
      <c r="C73" s="17">
        <v>15</v>
      </c>
      <c r="D73" s="17" t="s">
        <v>118</v>
      </c>
      <c r="E73" s="17" t="s">
        <v>376</v>
      </c>
      <c r="F73" s="17" t="s">
        <v>376</v>
      </c>
      <c r="G73" s="17">
        <v>104</v>
      </c>
      <c r="H73" s="17">
        <v>104</v>
      </c>
      <c r="I73" s="17">
        <v>1503.8</v>
      </c>
      <c r="J73" s="17">
        <v>1518.8</v>
      </c>
      <c r="K73" s="17" t="s">
        <v>403</v>
      </c>
      <c r="L73" s="17" t="str">
        <f>INDEX(Vendors!$B$2:$B$13,MATCH(C73,Vendors!$A$2:$A$13,0))</f>
        <v>Heritage Farms Dairy</v>
      </c>
      <c r="M73" s="18">
        <f t="shared" si="8"/>
        <v>1</v>
      </c>
      <c r="N73" s="18">
        <f t="shared" si="9"/>
        <v>1</v>
      </c>
      <c r="O73" s="19">
        <f t="shared" si="10"/>
        <v>9.9747306822715789E-3</v>
      </c>
      <c r="P73" s="18">
        <f t="shared" si="11"/>
        <v>5</v>
      </c>
    </row>
    <row r="74" spans="1:16" x14ac:dyDescent="0.25">
      <c r="A74" s="17">
        <v>268</v>
      </c>
      <c r="B74" s="17" t="s">
        <v>404</v>
      </c>
      <c r="C74" s="17">
        <v>19</v>
      </c>
      <c r="D74" s="17" t="s">
        <v>123</v>
      </c>
      <c r="E74" s="17" t="s">
        <v>178</v>
      </c>
      <c r="F74" s="17" t="s">
        <v>178</v>
      </c>
      <c r="G74" s="17">
        <v>106</v>
      </c>
      <c r="H74" s="17">
        <v>106</v>
      </c>
      <c r="I74" s="17">
        <v>2006.6</v>
      </c>
      <c r="J74" s="17">
        <v>2012.6</v>
      </c>
      <c r="K74" s="17" t="s">
        <v>405</v>
      </c>
      <c r="L74" s="17" t="str">
        <f>INDEX(Vendors!$B$2:$B$13,MATCH(C74,Vendors!$A$2:$A$13,0))</f>
        <v>Northfield Dairy Ingredients</v>
      </c>
      <c r="M74" s="18">
        <f t="shared" si="8"/>
        <v>1</v>
      </c>
      <c r="N74" s="18">
        <f t="shared" si="9"/>
        <v>1</v>
      </c>
      <c r="O74" s="19">
        <f t="shared" si="10"/>
        <v>2.9901325625436063E-3</v>
      </c>
      <c r="P74" s="18">
        <f t="shared" si="11"/>
        <v>6</v>
      </c>
    </row>
    <row r="75" spans="1:16" x14ac:dyDescent="0.25">
      <c r="A75" s="17">
        <v>269</v>
      </c>
      <c r="B75" s="17" t="s">
        <v>406</v>
      </c>
      <c r="C75" s="17">
        <v>15</v>
      </c>
      <c r="D75" s="17" t="s">
        <v>143</v>
      </c>
      <c r="E75" s="17" t="s">
        <v>407</v>
      </c>
      <c r="F75" s="17" t="s">
        <v>407</v>
      </c>
      <c r="G75" s="17">
        <v>33</v>
      </c>
      <c r="H75" s="17">
        <v>33</v>
      </c>
      <c r="I75" s="17">
        <v>217.5</v>
      </c>
      <c r="J75" s="17">
        <v>217</v>
      </c>
      <c r="K75" s="17" t="s">
        <v>408</v>
      </c>
      <c r="L75" s="17" t="str">
        <f>INDEX(Vendors!$B$2:$B$13,MATCH(C75,Vendors!$A$2:$A$13,0))</f>
        <v>Heritage Farms Dairy</v>
      </c>
      <c r="M75" s="18">
        <f t="shared" si="8"/>
        <v>1</v>
      </c>
      <c r="N75" s="18">
        <f t="shared" si="9"/>
        <v>1</v>
      </c>
      <c r="O75" s="19">
        <f t="shared" si="10"/>
        <v>-2.2988505747126436E-3</v>
      </c>
      <c r="P75" s="18">
        <f t="shared" si="11"/>
        <v>6</v>
      </c>
    </row>
    <row r="76" spans="1:16" x14ac:dyDescent="0.25">
      <c r="A76" s="17">
        <v>270</v>
      </c>
      <c r="B76" s="17" t="s">
        <v>409</v>
      </c>
      <c r="C76" s="17">
        <v>17</v>
      </c>
      <c r="D76" s="17" t="s">
        <v>156</v>
      </c>
      <c r="E76" s="17" t="s">
        <v>410</v>
      </c>
      <c r="F76" s="17" t="s">
        <v>389</v>
      </c>
      <c r="G76" s="17">
        <v>191</v>
      </c>
      <c r="H76" s="17">
        <v>191</v>
      </c>
      <c r="I76" s="17">
        <v>3858.2</v>
      </c>
      <c r="J76" s="17">
        <v>3332.2</v>
      </c>
      <c r="K76" s="17" t="s">
        <v>411</v>
      </c>
      <c r="L76" s="17" t="str">
        <f>INDEX(Vendors!$B$2:$B$13,MATCH(C76,Vendors!$A$2:$A$13,0))</f>
        <v>Golden Valley Creamery</v>
      </c>
      <c r="M76" s="18">
        <f t="shared" si="8"/>
        <v>1</v>
      </c>
      <c r="N76" s="18">
        <f t="shared" si="9"/>
        <v>1</v>
      </c>
      <c r="O76" s="19">
        <f t="shared" si="10"/>
        <v>-0.13633300502825152</v>
      </c>
      <c r="P76" s="18">
        <f t="shared" si="11"/>
        <v>6</v>
      </c>
    </row>
    <row r="77" spans="1:16" x14ac:dyDescent="0.25">
      <c r="A77" s="17">
        <v>271</v>
      </c>
      <c r="B77" s="17" t="s">
        <v>412</v>
      </c>
      <c r="C77" s="17">
        <v>14</v>
      </c>
      <c r="D77" s="17" t="s">
        <v>123</v>
      </c>
      <c r="E77" s="17" t="s">
        <v>179</v>
      </c>
      <c r="F77" s="17" t="s">
        <v>413</v>
      </c>
      <c r="G77" s="17">
        <v>73</v>
      </c>
      <c r="H77" s="17">
        <v>73</v>
      </c>
      <c r="I77" s="17">
        <v>436.5</v>
      </c>
      <c r="J77" s="17">
        <v>444.7</v>
      </c>
      <c r="K77" s="17" t="s">
        <v>414</v>
      </c>
      <c r="L77" s="17" t="str">
        <f>INDEX(Vendors!$B$2:$B$13,MATCH(C77,Vendors!$A$2:$A$13,0))</f>
        <v>Cascade Creamery Supply</v>
      </c>
      <c r="M77" s="18">
        <f t="shared" si="8"/>
        <v>0</v>
      </c>
      <c r="N77" s="18">
        <f t="shared" si="9"/>
        <v>1</v>
      </c>
      <c r="O77" s="19">
        <f t="shared" si="10"/>
        <v>1.8785796105383709E-2</v>
      </c>
      <c r="P77" s="18">
        <f t="shared" si="11"/>
        <v>7</v>
      </c>
    </row>
    <row r="78" spans="1:16" x14ac:dyDescent="0.25">
      <c r="A78" s="17">
        <v>272</v>
      </c>
      <c r="B78" s="17" t="s">
        <v>415</v>
      </c>
      <c r="C78" s="17">
        <v>14</v>
      </c>
      <c r="D78" s="17" t="s">
        <v>154</v>
      </c>
      <c r="E78" s="17" t="s">
        <v>416</v>
      </c>
      <c r="F78" s="17" t="s">
        <v>416</v>
      </c>
      <c r="G78" s="17">
        <v>10</v>
      </c>
      <c r="H78" s="17">
        <v>10</v>
      </c>
      <c r="I78" s="17">
        <v>62</v>
      </c>
      <c r="J78" s="17">
        <v>54.8</v>
      </c>
      <c r="K78" s="17" t="s">
        <v>417</v>
      </c>
      <c r="L78" s="17" t="str">
        <f>INDEX(Vendors!$B$2:$B$13,MATCH(C78,Vendors!$A$2:$A$13,0))</f>
        <v>Cascade Creamery Supply</v>
      </c>
      <c r="M78" s="18">
        <f t="shared" si="8"/>
        <v>1</v>
      </c>
      <c r="N78" s="18">
        <f t="shared" si="9"/>
        <v>1</v>
      </c>
      <c r="O78" s="19">
        <f t="shared" si="10"/>
        <v>-0.11612903225806456</v>
      </c>
      <c r="P78" s="18">
        <f t="shared" si="11"/>
        <v>6</v>
      </c>
    </row>
    <row r="79" spans="1:16" x14ac:dyDescent="0.25">
      <c r="A79" s="17">
        <v>273</v>
      </c>
      <c r="B79" s="17" t="s">
        <v>418</v>
      </c>
      <c r="C79" s="17">
        <v>17</v>
      </c>
      <c r="D79" s="17" t="s">
        <v>104</v>
      </c>
      <c r="E79" s="17" t="s">
        <v>407</v>
      </c>
      <c r="F79" s="17" t="s">
        <v>419</v>
      </c>
      <c r="G79" s="17">
        <v>188</v>
      </c>
      <c r="H79" s="17">
        <v>188</v>
      </c>
      <c r="I79" s="17">
        <v>552.70000000000005</v>
      </c>
      <c r="J79" s="17">
        <v>562.5</v>
      </c>
      <c r="K79" s="17" t="s">
        <v>420</v>
      </c>
      <c r="L79" s="17" t="str">
        <f>INDEX(Vendors!$B$2:$B$13,MATCH(C79,Vendors!$A$2:$A$13,0))</f>
        <v>Golden Valley Creamery</v>
      </c>
      <c r="M79" s="18">
        <f t="shared" si="8"/>
        <v>1</v>
      </c>
      <c r="N79" s="18">
        <f t="shared" si="9"/>
        <v>1</v>
      </c>
      <c r="O79" s="19">
        <f t="shared" si="10"/>
        <v>1.773113804957473E-2</v>
      </c>
      <c r="P79" s="18">
        <f t="shared" si="11"/>
        <v>6</v>
      </c>
    </row>
    <row r="80" spans="1:16" x14ac:dyDescent="0.25">
      <c r="A80" s="17">
        <v>274</v>
      </c>
      <c r="B80" s="17" t="s">
        <v>421</v>
      </c>
      <c r="C80" s="17">
        <v>16</v>
      </c>
      <c r="D80" s="17" t="s">
        <v>123</v>
      </c>
      <c r="E80" s="17" t="s">
        <v>179</v>
      </c>
      <c r="F80" s="17" t="s">
        <v>179</v>
      </c>
      <c r="G80" s="17">
        <v>12</v>
      </c>
      <c r="H80" s="17">
        <v>12</v>
      </c>
      <c r="I80" s="17">
        <v>298.89999999999998</v>
      </c>
      <c r="J80" s="17">
        <v>296.7</v>
      </c>
      <c r="K80" s="17" t="s">
        <v>422</v>
      </c>
      <c r="L80" s="17" t="str">
        <f>INDEX(Vendors!$B$2:$B$13,MATCH(C80,Vendors!$A$2:$A$13,0))</f>
        <v>Bluegrass Milk Producers</v>
      </c>
      <c r="M80" s="18">
        <f t="shared" si="8"/>
        <v>1</v>
      </c>
      <c r="N80" s="18">
        <f t="shared" si="9"/>
        <v>1</v>
      </c>
      <c r="O80" s="19">
        <f t="shared" si="10"/>
        <v>-7.3603211776513506E-3</v>
      </c>
      <c r="P80" s="18">
        <f t="shared" si="11"/>
        <v>7</v>
      </c>
    </row>
    <row r="81" spans="1:16" x14ac:dyDescent="0.25">
      <c r="A81" s="17">
        <v>275</v>
      </c>
      <c r="B81" s="17" t="s">
        <v>423</v>
      </c>
      <c r="C81" s="17">
        <v>16</v>
      </c>
      <c r="D81" s="17" t="s">
        <v>130</v>
      </c>
      <c r="E81" s="17" t="s">
        <v>424</v>
      </c>
      <c r="F81" s="17" t="s">
        <v>424</v>
      </c>
      <c r="G81" s="17">
        <v>17</v>
      </c>
      <c r="H81" s="17">
        <v>5</v>
      </c>
      <c r="I81" s="17">
        <v>279.10000000000002</v>
      </c>
      <c r="J81" s="17">
        <v>275.7</v>
      </c>
      <c r="K81" s="17" t="s">
        <v>425</v>
      </c>
      <c r="L81" s="17" t="str">
        <f>INDEX(Vendors!$B$2:$B$13,MATCH(C81,Vendors!$A$2:$A$13,0))</f>
        <v>Bluegrass Milk Producers</v>
      </c>
      <c r="M81" s="18">
        <f t="shared" si="8"/>
        <v>1</v>
      </c>
      <c r="N81" s="18">
        <f t="shared" si="9"/>
        <v>0</v>
      </c>
      <c r="O81" s="19">
        <f t="shared" si="10"/>
        <v>-1.2182013615191809E-2</v>
      </c>
      <c r="P81" s="18">
        <f t="shared" si="11"/>
        <v>7</v>
      </c>
    </row>
    <row r="82" spans="1:16" x14ac:dyDescent="0.25">
      <c r="A82" s="17">
        <v>276</v>
      </c>
      <c r="B82" s="17" t="s">
        <v>426</v>
      </c>
      <c r="C82" s="17">
        <v>23</v>
      </c>
      <c r="D82" s="17" t="s">
        <v>141</v>
      </c>
      <c r="E82" s="17" t="s">
        <v>427</v>
      </c>
      <c r="F82" s="17" t="s">
        <v>427</v>
      </c>
      <c r="G82" s="17">
        <v>180</v>
      </c>
      <c r="H82" s="17">
        <v>180</v>
      </c>
      <c r="I82" s="17">
        <v>1722.6</v>
      </c>
      <c r="J82" s="17">
        <v>1736.1</v>
      </c>
      <c r="K82" s="17" t="s">
        <v>428</v>
      </c>
      <c r="L82" s="17" t="str">
        <f>INDEX(Vendors!$B$2:$B$13,MATCH(C82,Vendors!$A$2:$A$13,0))</f>
        <v>PrecisionPack Supply Co.</v>
      </c>
      <c r="M82" s="18">
        <f t="shared" si="8"/>
        <v>1</v>
      </c>
      <c r="N82" s="18">
        <f t="shared" si="9"/>
        <v>1</v>
      </c>
      <c r="O82" s="19">
        <f t="shared" si="10"/>
        <v>7.8369905956112863E-3</v>
      </c>
      <c r="P82" s="18">
        <f t="shared" si="11"/>
        <v>6</v>
      </c>
    </row>
    <row r="83" spans="1:16" x14ac:dyDescent="0.25">
      <c r="A83" s="17">
        <v>277</v>
      </c>
      <c r="B83" s="17" t="s">
        <v>429</v>
      </c>
      <c r="C83" s="17">
        <v>24</v>
      </c>
      <c r="D83" s="17" t="s">
        <v>125</v>
      </c>
      <c r="E83" s="17" t="s">
        <v>394</v>
      </c>
      <c r="F83" s="17" t="s">
        <v>389</v>
      </c>
      <c r="G83" s="17">
        <v>11</v>
      </c>
      <c r="H83" s="17">
        <v>11</v>
      </c>
      <c r="I83" s="17">
        <v>204.7</v>
      </c>
      <c r="J83" s="17">
        <v>202.3</v>
      </c>
      <c r="K83" s="17" t="s">
        <v>430</v>
      </c>
      <c r="L83" s="17" t="str">
        <f>INDEX(Vendors!$B$2:$B$13,MATCH(C83,Vendors!$A$2:$A$13,0))</f>
        <v>Budget Dairy Wholesale</v>
      </c>
      <c r="M83" s="18">
        <f t="shared" si="8"/>
        <v>0</v>
      </c>
      <c r="N83" s="18">
        <f t="shared" si="9"/>
        <v>1</v>
      </c>
      <c r="O83" s="19">
        <f t="shared" si="10"/>
        <v>-1.172447484123096E-2</v>
      </c>
      <c r="P83" s="18">
        <f t="shared" si="11"/>
        <v>5</v>
      </c>
    </row>
    <row r="84" spans="1:16" x14ac:dyDescent="0.25">
      <c r="A84" s="17">
        <v>278</v>
      </c>
      <c r="B84" s="17" t="s">
        <v>431</v>
      </c>
      <c r="C84" s="17">
        <v>16</v>
      </c>
      <c r="D84" s="17" t="s">
        <v>116</v>
      </c>
      <c r="E84" s="17" t="s">
        <v>416</v>
      </c>
      <c r="F84" s="17" t="s">
        <v>416</v>
      </c>
      <c r="G84" s="17">
        <v>77</v>
      </c>
      <c r="H84" s="17">
        <v>77</v>
      </c>
      <c r="I84" s="17">
        <v>595.20000000000005</v>
      </c>
      <c r="J84" s="17">
        <v>514.5</v>
      </c>
      <c r="K84" s="17" t="s">
        <v>432</v>
      </c>
      <c r="L84" s="17" t="str">
        <f>INDEX(Vendors!$B$2:$B$13,MATCH(C84,Vendors!$A$2:$A$13,0))</f>
        <v>Bluegrass Milk Producers</v>
      </c>
      <c r="M84" s="18">
        <f t="shared" si="8"/>
        <v>1</v>
      </c>
      <c r="N84" s="18">
        <f t="shared" si="9"/>
        <v>1</v>
      </c>
      <c r="O84" s="19">
        <f t="shared" si="10"/>
        <v>-0.1355846774193549</v>
      </c>
      <c r="P84" s="18">
        <f t="shared" si="11"/>
        <v>6</v>
      </c>
    </row>
    <row r="85" spans="1:16" x14ac:dyDescent="0.25">
      <c r="A85" s="17">
        <v>279</v>
      </c>
      <c r="B85" s="17" t="s">
        <v>433</v>
      </c>
      <c r="C85" s="17">
        <v>15</v>
      </c>
      <c r="D85" s="17" t="s">
        <v>159</v>
      </c>
      <c r="E85" s="17" t="s">
        <v>389</v>
      </c>
      <c r="F85" s="17" t="s">
        <v>389</v>
      </c>
      <c r="G85" s="17">
        <v>162</v>
      </c>
      <c r="H85" s="17">
        <v>162</v>
      </c>
      <c r="I85" s="17">
        <v>1642.7</v>
      </c>
      <c r="J85" s="17">
        <v>1673.9</v>
      </c>
      <c r="K85" s="17" t="s">
        <v>434</v>
      </c>
      <c r="L85" s="17" t="str">
        <f>INDEX(Vendors!$B$2:$B$13,MATCH(C85,Vendors!$A$2:$A$13,0))</f>
        <v>Heritage Farms Dairy</v>
      </c>
      <c r="M85" s="18">
        <f t="shared" si="8"/>
        <v>1</v>
      </c>
      <c r="N85" s="18">
        <f t="shared" si="9"/>
        <v>1</v>
      </c>
      <c r="O85" s="19">
        <f t="shared" si="10"/>
        <v>1.8993121081146921E-2</v>
      </c>
      <c r="P85" s="18">
        <f t="shared" si="11"/>
        <v>6</v>
      </c>
    </row>
    <row r="86" spans="1:16" x14ac:dyDescent="0.25">
      <c r="A86" s="17">
        <v>280</v>
      </c>
      <c r="B86" s="17" t="s">
        <v>435</v>
      </c>
      <c r="C86" s="17">
        <v>15</v>
      </c>
      <c r="D86" s="17" t="s">
        <v>125</v>
      </c>
      <c r="E86" s="17" t="s">
        <v>178</v>
      </c>
      <c r="F86" s="17" t="s">
        <v>178</v>
      </c>
      <c r="G86" s="17">
        <v>110</v>
      </c>
      <c r="H86" s="17">
        <v>110</v>
      </c>
      <c r="I86" s="17">
        <v>1973.4</v>
      </c>
      <c r="J86" s="17">
        <v>1942.9</v>
      </c>
      <c r="K86" s="17" t="s">
        <v>436</v>
      </c>
      <c r="L86" s="17" t="str">
        <f>INDEX(Vendors!$B$2:$B$13,MATCH(C86,Vendors!$A$2:$A$13,0))</f>
        <v>Heritage Farms Dairy</v>
      </c>
      <c r="M86" s="18">
        <f t="shared" si="8"/>
        <v>1</v>
      </c>
      <c r="N86" s="18">
        <f t="shared" si="9"/>
        <v>1</v>
      </c>
      <c r="O86" s="19">
        <f t="shared" si="10"/>
        <v>-1.5455558933819802E-2</v>
      </c>
      <c r="P86" s="18">
        <f t="shared" si="11"/>
        <v>6</v>
      </c>
    </row>
    <row r="87" spans="1:16" x14ac:dyDescent="0.25">
      <c r="A87" s="17">
        <v>281</v>
      </c>
      <c r="B87" s="17" t="s">
        <v>437</v>
      </c>
      <c r="C87" s="17">
        <v>14</v>
      </c>
      <c r="D87" s="17" t="s">
        <v>161</v>
      </c>
      <c r="E87" s="17" t="s">
        <v>407</v>
      </c>
      <c r="F87" s="17" t="s">
        <v>407</v>
      </c>
      <c r="G87" s="17">
        <v>177</v>
      </c>
      <c r="H87" s="17">
        <v>165</v>
      </c>
      <c r="I87" s="17">
        <v>2116.9</v>
      </c>
      <c r="J87" s="17">
        <v>2136</v>
      </c>
      <c r="K87" s="17" t="s">
        <v>438</v>
      </c>
      <c r="L87" s="17" t="str">
        <f>INDEX(Vendors!$B$2:$B$13,MATCH(C87,Vendors!$A$2:$A$13,0))</f>
        <v>Cascade Creamery Supply</v>
      </c>
      <c r="M87" s="18">
        <f t="shared" si="8"/>
        <v>1</v>
      </c>
      <c r="N87" s="18">
        <f t="shared" si="9"/>
        <v>0</v>
      </c>
      <c r="O87" s="19">
        <f t="shared" si="10"/>
        <v>9.0226274268977794E-3</v>
      </c>
      <c r="P87" s="18">
        <f t="shared" si="11"/>
        <v>6</v>
      </c>
    </row>
    <row r="88" spans="1:16" x14ac:dyDescent="0.25">
      <c r="A88" s="17">
        <v>282</v>
      </c>
      <c r="B88" s="17" t="s">
        <v>439</v>
      </c>
      <c r="C88" s="17">
        <v>18</v>
      </c>
      <c r="D88" s="17" t="s">
        <v>118</v>
      </c>
      <c r="E88" s="17" t="s">
        <v>389</v>
      </c>
      <c r="F88" s="17" t="s">
        <v>389</v>
      </c>
      <c r="G88" s="17">
        <v>30</v>
      </c>
      <c r="H88" s="17">
        <v>30</v>
      </c>
      <c r="I88" s="17">
        <v>273.3</v>
      </c>
      <c r="J88" s="17">
        <v>223</v>
      </c>
      <c r="K88" s="17" t="s">
        <v>440</v>
      </c>
      <c r="L88" s="17" t="str">
        <f>INDEX(Vendors!$B$2:$B$13,MATCH(C88,Vendors!$A$2:$A$13,0))</f>
        <v>Crestline Packaging Supply</v>
      </c>
      <c r="M88" s="18">
        <f t="shared" si="8"/>
        <v>1</v>
      </c>
      <c r="N88" s="18">
        <f t="shared" si="9"/>
        <v>1</v>
      </c>
      <c r="O88" s="19">
        <f t="shared" si="10"/>
        <v>-0.18404683497987562</v>
      </c>
      <c r="P88" s="18">
        <f t="shared" si="11"/>
        <v>6</v>
      </c>
    </row>
    <row r="89" spans="1:16" x14ac:dyDescent="0.25">
      <c r="A89" s="17">
        <v>283</v>
      </c>
      <c r="B89" s="17" t="s">
        <v>441</v>
      </c>
      <c r="C89" s="17">
        <v>16</v>
      </c>
      <c r="D89" s="17" t="s">
        <v>123</v>
      </c>
      <c r="E89" s="17" t="s">
        <v>180</v>
      </c>
      <c r="F89" s="17" t="s">
        <v>442</v>
      </c>
      <c r="G89" s="17">
        <v>120</v>
      </c>
      <c r="H89" s="17">
        <v>120</v>
      </c>
      <c r="I89" s="17">
        <v>2133.6</v>
      </c>
      <c r="J89" s="17">
        <v>2137.1</v>
      </c>
      <c r="K89" s="17" t="s">
        <v>443</v>
      </c>
      <c r="L89" s="17" t="str">
        <f>INDEX(Vendors!$B$2:$B$13,MATCH(C89,Vendors!$A$2:$A$13,0))</f>
        <v>Bluegrass Milk Producers</v>
      </c>
      <c r="M89" s="18">
        <f t="shared" si="8"/>
        <v>1</v>
      </c>
      <c r="N89" s="18">
        <f t="shared" si="9"/>
        <v>1</v>
      </c>
      <c r="O89" s="19">
        <f t="shared" si="10"/>
        <v>1.6404199475065617E-3</v>
      </c>
      <c r="P89" s="18">
        <f t="shared" si="11"/>
        <v>8</v>
      </c>
    </row>
    <row r="90" spans="1:16" x14ac:dyDescent="0.25">
      <c r="A90" s="17">
        <v>284</v>
      </c>
      <c r="B90" s="17" t="s">
        <v>444</v>
      </c>
      <c r="C90" s="17">
        <v>20</v>
      </c>
      <c r="D90" s="17" t="s">
        <v>109</v>
      </c>
      <c r="E90" s="17" t="s">
        <v>445</v>
      </c>
      <c r="F90" s="17" t="s">
        <v>424</v>
      </c>
      <c r="G90" s="17">
        <v>17</v>
      </c>
      <c r="H90" s="17">
        <v>17</v>
      </c>
      <c r="I90" s="17">
        <v>111.9</v>
      </c>
      <c r="J90" s="17">
        <v>111.5</v>
      </c>
      <c r="K90" s="17" t="s">
        <v>446</v>
      </c>
      <c r="L90" s="17" t="str">
        <f>INDEX(Vendors!$B$2:$B$13,MATCH(C90,Vendors!$A$2:$A$13,0))</f>
        <v>Ridgeway Cold Storage Logistics</v>
      </c>
      <c r="M90" s="18">
        <f t="shared" si="8"/>
        <v>1</v>
      </c>
      <c r="N90" s="18">
        <f t="shared" si="9"/>
        <v>1</v>
      </c>
      <c r="O90" s="19">
        <f t="shared" si="10"/>
        <v>-3.5746201966041615E-3</v>
      </c>
      <c r="P90" s="18">
        <f t="shared" si="11"/>
        <v>7</v>
      </c>
    </row>
    <row r="91" spans="1:16" x14ac:dyDescent="0.25">
      <c r="A91" s="17">
        <v>285</v>
      </c>
      <c r="B91" s="17" t="s">
        <v>447</v>
      </c>
      <c r="C91" s="17">
        <v>19</v>
      </c>
      <c r="D91" s="17" t="s">
        <v>98</v>
      </c>
      <c r="E91" s="17" t="s">
        <v>180</v>
      </c>
      <c r="F91" s="17" t="s">
        <v>180</v>
      </c>
      <c r="G91" s="17">
        <v>75</v>
      </c>
      <c r="H91" s="17">
        <v>75</v>
      </c>
      <c r="I91" s="17">
        <v>153</v>
      </c>
      <c r="J91" s="17">
        <v>152.19999999999999</v>
      </c>
      <c r="K91" s="17" t="s">
        <v>448</v>
      </c>
      <c r="L91" s="17" t="str">
        <f>INDEX(Vendors!$B$2:$B$13,MATCH(C91,Vendors!$A$2:$A$13,0))</f>
        <v>Northfield Dairy Ingredients</v>
      </c>
      <c r="M91" s="18">
        <f t="shared" si="8"/>
        <v>1</v>
      </c>
      <c r="N91" s="18">
        <f t="shared" si="9"/>
        <v>1</v>
      </c>
      <c r="O91" s="19">
        <f t="shared" si="10"/>
        <v>-5.2287581699347148E-3</v>
      </c>
      <c r="P91" s="18">
        <f t="shared" si="11"/>
        <v>8</v>
      </c>
    </row>
    <row r="92" spans="1:16" x14ac:dyDescent="0.25">
      <c r="A92" s="17">
        <v>286</v>
      </c>
      <c r="B92" s="17" t="s">
        <v>449</v>
      </c>
      <c r="C92" s="17">
        <v>18</v>
      </c>
      <c r="D92" s="17" t="s">
        <v>139</v>
      </c>
      <c r="E92" s="17" t="s">
        <v>427</v>
      </c>
      <c r="F92" s="17" t="s">
        <v>407</v>
      </c>
      <c r="G92" s="17">
        <v>80</v>
      </c>
      <c r="H92" s="17">
        <v>80</v>
      </c>
      <c r="I92" s="17">
        <v>1454.4</v>
      </c>
      <c r="J92" s="17">
        <v>1472.2</v>
      </c>
      <c r="K92" s="17" t="s">
        <v>450</v>
      </c>
      <c r="L92" s="17" t="str">
        <f>INDEX(Vendors!$B$2:$B$13,MATCH(C92,Vendors!$A$2:$A$13,0))</f>
        <v>Crestline Packaging Supply</v>
      </c>
      <c r="M92" s="18">
        <f t="shared" si="8"/>
        <v>1</v>
      </c>
      <c r="N92" s="18">
        <f t="shared" si="9"/>
        <v>1</v>
      </c>
      <c r="O92" s="19">
        <f t="shared" si="10"/>
        <v>1.2238723872387206E-2</v>
      </c>
      <c r="P92" s="18">
        <f t="shared" si="11"/>
        <v>6</v>
      </c>
    </row>
    <row r="93" spans="1:16" x14ac:dyDescent="0.25">
      <c r="A93" s="17">
        <v>287</v>
      </c>
      <c r="B93" s="17" t="s">
        <v>451</v>
      </c>
      <c r="C93" s="17">
        <v>14</v>
      </c>
      <c r="D93" s="17" t="s">
        <v>95</v>
      </c>
      <c r="E93" s="17" t="s">
        <v>413</v>
      </c>
      <c r="F93" s="17" t="s">
        <v>445</v>
      </c>
      <c r="G93" s="17">
        <v>108</v>
      </c>
      <c r="H93" s="17">
        <v>108</v>
      </c>
      <c r="I93" s="17">
        <v>2471</v>
      </c>
      <c r="J93" s="17">
        <v>2434.6999999999998</v>
      </c>
      <c r="K93" s="17" t="s">
        <v>452</v>
      </c>
      <c r="L93" s="17" t="str">
        <f>INDEX(Vendors!$B$2:$B$13,MATCH(C93,Vendors!$A$2:$A$13,0))</f>
        <v>Cascade Creamery Supply</v>
      </c>
      <c r="M93" s="18">
        <f t="shared" si="8"/>
        <v>1</v>
      </c>
      <c r="N93" s="18">
        <f t="shared" si="9"/>
        <v>1</v>
      </c>
      <c r="O93" s="19">
        <f t="shared" si="10"/>
        <v>-1.4690408741400316E-2</v>
      </c>
      <c r="P93" s="18">
        <f t="shared" si="11"/>
        <v>7</v>
      </c>
    </row>
    <row r="94" spans="1:16" x14ac:dyDescent="0.25">
      <c r="A94" s="17">
        <v>288</v>
      </c>
      <c r="B94" s="17" t="s">
        <v>453</v>
      </c>
      <c r="C94" s="17">
        <v>20</v>
      </c>
      <c r="D94" s="17" t="s">
        <v>107</v>
      </c>
      <c r="E94" s="17" t="s">
        <v>454</v>
      </c>
      <c r="F94" s="17" t="s">
        <v>179</v>
      </c>
      <c r="G94" s="17">
        <v>187</v>
      </c>
      <c r="H94" s="17">
        <v>187</v>
      </c>
      <c r="I94" s="17">
        <v>2876.1</v>
      </c>
      <c r="J94" s="17">
        <v>2855.3</v>
      </c>
      <c r="K94" s="17" t="s">
        <v>455</v>
      </c>
      <c r="L94" s="17" t="str">
        <f>INDEX(Vendors!$B$2:$B$13,MATCH(C94,Vendors!$A$2:$A$13,0))</f>
        <v>Ridgeway Cold Storage Logistics</v>
      </c>
      <c r="M94" s="18">
        <f t="shared" si="8"/>
        <v>1</v>
      </c>
      <c r="N94" s="18">
        <f t="shared" si="9"/>
        <v>1</v>
      </c>
      <c r="O94" s="19">
        <f t="shared" si="10"/>
        <v>-7.2320155766488394E-3</v>
      </c>
      <c r="P94" s="18">
        <f t="shared" si="11"/>
        <v>7</v>
      </c>
    </row>
    <row r="95" spans="1:16" x14ac:dyDescent="0.25">
      <c r="A95" s="17">
        <v>289</v>
      </c>
      <c r="B95" s="17" t="s">
        <v>456</v>
      </c>
      <c r="C95" s="17">
        <v>18</v>
      </c>
      <c r="D95" s="17" t="s">
        <v>152</v>
      </c>
      <c r="E95" s="17" t="s">
        <v>424</v>
      </c>
      <c r="F95" s="17" t="s">
        <v>424</v>
      </c>
      <c r="G95" s="17">
        <v>110</v>
      </c>
      <c r="H95" s="17">
        <v>110</v>
      </c>
      <c r="I95" s="17">
        <v>721.6</v>
      </c>
      <c r="J95" s="17">
        <v>708.1</v>
      </c>
      <c r="K95" s="17" t="s">
        <v>457</v>
      </c>
      <c r="L95" s="17" t="str">
        <f>INDEX(Vendors!$B$2:$B$13,MATCH(C95,Vendors!$A$2:$A$13,0))</f>
        <v>Crestline Packaging Supply</v>
      </c>
      <c r="M95" s="18">
        <f t="shared" si="8"/>
        <v>1</v>
      </c>
      <c r="N95" s="18">
        <f t="shared" si="9"/>
        <v>1</v>
      </c>
      <c r="O95" s="19">
        <f t="shared" si="10"/>
        <v>-1.8708425720620842E-2</v>
      </c>
      <c r="P95" s="18">
        <f t="shared" si="11"/>
        <v>7</v>
      </c>
    </row>
    <row r="96" spans="1:16" x14ac:dyDescent="0.25">
      <c r="A96" s="17">
        <v>290</v>
      </c>
      <c r="B96" s="17" t="s">
        <v>458</v>
      </c>
      <c r="C96" s="17">
        <v>21</v>
      </c>
      <c r="D96" s="17" t="s">
        <v>134</v>
      </c>
      <c r="E96" s="17" t="s">
        <v>454</v>
      </c>
      <c r="F96" s="17" t="s">
        <v>179</v>
      </c>
      <c r="G96" s="17">
        <v>36</v>
      </c>
      <c r="H96" s="17">
        <v>31</v>
      </c>
      <c r="I96" s="17">
        <v>568.79999999999995</v>
      </c>
      <c r="J96" s="17">
        <v>567</v>
      </c>
      <c r="K96" s="17" t="s">
        <v>459</v>
      </c>
      <c r="L96" s="17" t="str">
        <f>INDEX(Vendors!$B$2:$B$13,MATCH(C96,Vendors!$A$2:$A$13,0))</f>
        <v>Coastal Freight Distributors</v>
      </c>
      <c r="M96" s="18">
        <f t="shared" si="8"/>
        <v>1</v>
      </c>
      <c r="N96" s="18">
        <f t="shared" si="9"/>
        <v>0</v>
      </c>
      <c r="O96" s="19">
        <f t="shared" si="10"/>
        <v>-3.1645569620252366E-3</v>
      </c>
      <c r="P96" s="18">
        <f t="shared" si="11"/>
        <v>7</v>
      </c>
    </row>
    <row r="97" spans="1:16" x14ac:dyDescent="0.25">
      <c r="A97" s="17">
        <v>291</v>
      </c>
      <c r="B97" s="17" t="s">
        <v>460</v>
      </c>
      <c r="C97" s="17">
        <v>24</v>
      </c>
      <c r="D97" s="17" t="s">
        <v>127</v>
      </c>
      <c r="E97" s="17" t="s">
        <v>427</v>
      </c>
      <c r="F97" s="17" t="s">
        <v>407</v>
      </c>
      <c r="G97" s="17">
        <v>127</v>
      </c>
      <c r="H97" s="17">
        <v>127</v>
      </c>
      <c r="I97" s="17">
        <v>2161.5</v>
      </c>
      <c r="J97" s="17">
        <v>2191.5</v>
      </c>
      <c r="K97" s="17" t="s">
        <v>461</v>
      </c>
      <c r="L97" s="17" t="str">
        <f>INDEX(Vendors!$B$2:$B$13,MATCH(C97,Vendors!$A$2:$A$13,0))</f>
        <v>Budget Dairy Wholesale</v>
      </c>
      <c r="M97" s="18">
        <f t="shared" si="8"/>
        <v>1</v>
      </c>
      <c r="N97" s="18">
        <f t="shared" si="9"/>
        <v>1</v>
      </c>
      <c r="O97" s="19">
        <f t="shared" si="10"/>
        <v>1.3879250520471894E-2</v>
      </c>
      <c r="P97" s="18">
        <f t="shared" si="11"/>
        <v>6</v>
      </c>
    </row>
    <row r="98" spans="1:16" x14ac:dyDescent="0.25">
      <c r="A98" s="17">
        <v>292</v>
      </c>
      <c r="B98" s="17" t="s">
        <v>462</v>
      </c>
      <c r="C98" s="17">
        <v>23</v>
      </c>
      <c r="D98" s="17" t="s">
        <v>149</v>
      </c>
      <c r="E98" s="17" t="s">
        <v>424</v>
      </c>
      <c r="F98" s="17" t="s">
        <v>454</v>
      </c>
      <c r="G98" s="17">
        <v>85</v>
      </c>
      <c r="H98" s="17">
        <v>85</v>
      </c>
      <c r="I98" s="17">
        <v>600.1</v>
      </c>
      <c r="J98" s="17">
        <v>594.29999999999995</v>
      </c>
      <c r="K98" s="17" t="s">
        <v>463</v>
      </c>
      <c r="L98" s="17" t="str">
        <f>INDEX(Vendors!$B$2:$B$13,MATCH(C98,Vendors!$A$2:$A$13,0))</f>
        <v>PrecisionPack Supply Co.</v>
      </c>
      <c r="M98" s="18">
        <f t="shared" ref="M98:M129" si="12">IF(F98&lt;=E98,1,0)</f>
        <v>1</v>
      </c>
      <c r="N98" s="18">
        <f t="shared" ref="N98:N129" si="13">IF(H98=G98,1,0)</f>
        <v>1</v>
      </c>
      <c r="O98" s="19">
        <f t="shared" ref="O98:O129" si="14">IF(I98=0,0,(J98-I98)/I98)</f>
        <v>-9.6650558240294424E-3</v>
      </c>
      <c r="P98" s="18">
        <f t="shared" ref="P98:P129" si="15">INT((DATEVALUE(E98)-DATE(2026,4,6))/7)</f>
        <v>7</v>
      </c>
    </row>
    <row r="99" spans="1:16" x14ac:dyDescent="0.25">
      <c r="A99" s="17">
        <v>293</v>
      </c>
      <c r="B99" s="17" t="s">
        <v>464</v>
      </c>
      <c r="C99" s="17">
        <v>20</v>
      </c>
      <c r="D99" s="17" t="s">
        <v>111</v>
      </c>
      <c r="E99" s="17" t="s">
        <v>424</v>
      </c>
      <c r="F99" s="17" t="s">
        <v>424</v>
      </c>
      <c r="G99" s="17">
        <v>82</v>
      </c>
      <c r="H99" s="17">
        <v>82</v>
      </c>
      <c r="I99" s="17">
        <v>1202.9000000000001</v>
      </c>
      <c r="J99" s="17">
        <v>1197.9000000000001</v>
      </c>
      <c r="K99" s="17" t="s">
        <v>465</v>
      </c>
      <c r="L99" s="17" t="str">
        <f>INDEX(Vendors!$B$2:$B$13,MATCH(C99,Vendors!$A$2:$A$13,0))</f>
        <v>Ridgeway Cold Storage Logistics</v>
      </c>
      <c r="M99" s="18">
        <f t="shared" si="12"/>
        <v>1</v>
      </c>
      <c r="N99" s="18">
        <f t="shared" si="13"/>
        <v>1</v>
      </c>
      <c r="O99" s="19">
        <f t="shared" si="14"/>
        <v>-4.1566214980463872E-3</v>
      </c>
      <c r="P99" s="18">
        <f t="shared" si="15"/>
        <v>7</v>
      </c>
    </row>
    <row r="100" spans="1:16" x14ac:dyDescent="0.25">
      <c r="A100" s="17">
        <v>294</v>
      </c>
      <c r="B100" s="17" t="s">
        <v>466</v>
      </c>
      <c r="C100" s="17">
        <v>16</v>
      </c>
      <c r="D100" s="17" t="s">
        <v>132</v>
      </c>
      <c r="E100" s="17" t="s">
        <v>467</v>
      </c>
      <c r="F100" s="17" t="s">
        <v>467</v>
      </c>
      <c r="G100" s="17">
        <v>177</v>
      </c>
      <c r="H100" s="17">
        <v>177</v>
      </c>
      <c r="I100" s="17">
        <v>249.6</v>
      </c>
      <c r="J100" s="17">
        <v>253.4</v>
      </c>
      <c r="K100" s="17" t="s">
        <v>468</v>
      </c>
      <c r="L100" s="17" t="str">
        <f>INDEX(Vendors!$B$2:$B$13,MATCH(C100,Vendors!$A$2:$A$13,0))</f>
        <v>Bluegrass Milk Producers</v>
      </c>
      <c r="M100" s="18">
        <f t="shared" si="12"/>
        <v>1</v>
      </c>
      <c r="N100" s="18">
        <f t="shared" si="13"/>
        <v>1</v>
      </c>
      <c r="O100" s="19">
        <f t="shared" si="14"/>
        <v>1.5224358974359021E-2</v>
      </c>
      <c r="P100" s="18">
        <f t="shared" si="15"/>
        <v>8</v>
      </c>
    </row>
    <row r="101" spans="1:16" x14ac:dyDescent="0.25">
      <c r="A101" s="17">
        <v>295</v>
      </c>
      <c r="B101" s="17" t="s">
        <v>469</v>
      </c>
      <c r="C101" s="17">
        <v>16</v>
      </c>
      <c r="D101" s="17" t="s">
        <v>154</v>
      </c>
      <c r="E101" s="17" t="s">
        <v>470</v>
      </c>
      <c r="F101" s="17" t="s">
        <v>467</v>
      </c>
      <c r="G101" s="17">
        <v>85</v>
      </c>
      <c r="H101" s="17">
        <v>85</v>
      </c>
      <c r="I101" s="17">
        <v>147.1</v>
      </c>
      <c r="J101" s="17">
        <v>149</v>
      </c>
      <c r="K101" s="17" t="s">
        <v>471</v>
      </c>
      <c r="L101" s="17" t="str">
        <f>INDEX(Vendors!$B$2:$B$13,MATCH(C101,Vendors!$A$2:$A$13,0))</f>
        <v>Bluegrass Milk Producers</v>
      </c>
      <c r="M101" s="18">
        <f t="shared" si="12"/>
        <v>0</v>
      </c>
      <c r="N101" s="18">
        <f t="shared" si="13"/>
        <v>1</v>
      </c>
      <c r="O101" s="19">
        <f t="shared" si="14"/>
        <v>1.2916383412644498E-2</v>
      </c>
      <c r="P101" s="18">
        <f t="shared" si="15"/>
        <v>8</v>
      </c>
    </row>
    <row r="102" spans="1:16" x14ac:dyDescent="0.25">
      <c r="A102" s="17">
        <v>296</v>
      </c>
      <c r="B102" s="17" t="s">
        <v>472</v>
      </c>
      <c r="C102" s="17">
        <v>16</v>
      </c>
      <c r="D102" s="17" t="s">
        <v>161</v>
      </c>
      <c r="E102" s="17" t="s">
        <v>473</v>
      </c>
      <c r="F102" s="17" t="s">
        <v>473</v>
      </c>
      <c r="G102" s="17">
        <v>124</v>
      </c>
      <c r="H102" s="17">
        <v>124</v>
      </c>
      <c r="I102" s="17">
        <v>2416.8000000000002</v>
      </c>
      <c r="J102" s="17">
        <v>2369.1</v>
      </c>
      <c r="K102" s="17" t="s">
        <v>474</v>
      </c>
      <c r="L102" s="17" t="str">
        <f>INDEX(Vendors!$B$2:$B$13,MATCH(C102,Vendors!$A$2:$A$13,0))</f>
        <v>Bluegrass Milk Producers</v>
      </c>
      <c r="M102" s="18">
        <f t="shared" si="12"/>
        <v>1</v>
      </c>
      <c r="N102" s="18">
        <f t="shared" si="13"/>
        <v>1</v>
      </c>
      <c r="O102" s="19">
        <f t="shared" si="14"/>
        <v>-1.9736842105263268E-2</v>
      </c>
      <c r="P102" s="18">
        <f t="shared" si="15"/>
        <v>7</v>
      </c>
    </row>
    <row r="103" spans="1:16" x14ac:dyDescent="0.25">
      <c r="A103" s="17">
        <v>297</v>
      </c>
      <c r="B103" s="17" t="s">
        <v>475</v>
      </c>
      <c r="C103" s="17">
        <v>23</v>
      </c>
      <c r="D103" s="17" t="s">
        <v>139</v>
      </c>
      <c r="E103" s="17" t="s">
        <v>442</v>
      </c>
      <c r="F103" s="17" t="s">
        <v>442</v>
      </c>
      <c r="G103" s="17">
        <v>104</v>
      </c>
      <c r="H103" s="17">
        <v>104</v>
      </c>
      <c r="I103" s="17">
        <v>164.3</v>
      </c>
      <c r="J103" s="17">
        <v>132.30000000000001</v>
      </c>
      <c r="K103" s="17" t="s">
        <v>476</v>
      </c>
      <c r="L103" s="17" t="str">
        <f>INDEX(Vendors!$B$2:$B$13,MATCH(C103,Vendors!$A$2:$A$13,0))</f>
        <v>PrecisionPack Supply Co.</v>
      </c>
      <c r="M103" s="18">
        <f t="shared" si="12"/>
        <v>1</v>
      </c>
      <c r="N103" s="18">
        <f t="shared" si="13"/>
        <v>1</v>
      </c>
      <c r="O103" s="19">
        <f t="shared" si="14"/>
        <v>-0.19476567255021301</v>
      </c>
      <c r="P103" s="18">
        <f t="shared" si="15"/>
        <v>7</v>
      </c>
    </row>
    <row r="104" spans="1:16" x14ac:dyDescent="0.25">
      <c r="A104" s="17">
        <v>298</v>
      </c>
      <c r="B104" s="17" t="s">
        <v>477</v>
      </c>
      <c r="C104" s="17">
        <v>24</v>
      </c>
      <c r="D104" s="17" t="s">
        <v>141</v>
      </c>
      <c r="E104" s="17" t="s">
        <v>427</v>
      </c>
      <c r="F104" s="17" t="s">
        <v>473</v>
      </c>
      <c r="G104" s="17">
        <v>93</v>
      </c>
      <c r="H104" s="17">
        <v>93</v>
      </c>
      <c r="I104" s="17">
        <v>893.7</v>
      </c>
      <c r="J104" s="17">
        <v>878.6</v>
      </c>
      <c r="K104" s="17" t="s">
        <v>478</v>
      </c>
      <c r="L104" s="17" t="str">
        <f>INDEX(Vendors!$B$2:$B$13,MATCH(C104,Vendors!$A$2:$A$13,0))</f>
        <v>Budget Dairy Wholesale</v>
      </c>
      <c r="M104" s="18">
        <f t="shared" si="12"/>
        <v>0</v>
      </c>
      <c r="N104" s="18">
        <f t="shared" si="13"/>
        <v>1</v>
      </c>
      <c r="O104" s="19">
        <f t="shared" si="14"/>
        <v>-1.6896050128678553E-2</v>
      </c>
      <c r="P104" s="18">
        <f t="shared" si="15"/>
        <v>6</v>
      </c>
    </row>
    <row r="105" spans="1:16" x14ac:dyDescent="0.25">
      <c r="A105" s="17">
        <v>299</v>
      </c>
      <c r="B105" s="17" t="s">
        <v>479</v>
      </c>
      <c r="C105" s="17">
        <v>13</v>
      </c>
      <c r="D105" s="17" t="s">
        <v>152</v>
      </c>
      <c r="E105" s="17" t="s">
        <v>480</v>
      </c>
      <c r="F105" s="17" t="s">
        <v>480</v>
      </c>
      <c r="G105" s="17">
        <v>114</v>
      </c>
      <c r="H105" s="17">
        <v>114</v>
      </c>
      <c r="I105" s="17">
        <v>1160.5</v>
      </c>
      <c r="J105" s="17">
        <v>1167</v>
      </c>
      <c r="K105" s="17" t="s">
        <v>481</v>
      </c>
      <c r="L105" s="17" t="str">
        <f>INDEX(Vendors!$B$2:$B$13,MATCH(C105,Vendors!$A$2:$A$13,0))</f>
        <v>Meadowbrook Dairy Co-op</v>
      </c>
      <c r="M105" s="18">
        <f t="shared" si="12"/>
        <v>1</v>
      </c>
      <c r="N105" s="18">
        <f t="shared" si="13"/>
        <v>1</v>
      </c>
      <c r="O105" s="19">
        <f t="shared" si="14"/>
        <v>5.6010340370529947E-3</v>
      </c>
      <c r="P105" s="18">
        <f t="shared" si="15"/>
        <v>8</v>
      </c>
    </row>
    <row r="106" spans="1:16" x14ac:dyDescent="0.25">
      <c r="A106" s="17">
        <v>300</v>
      </c>
      <c r="B106" s="17" t="s">
        <v>482</v>
      </c>
      <c r="C106" s="17">
        <v>14</v>
      </c>
      <c r="D106" s="17" t="s">
        <v>141</v>
      </c>
      <c r="E106" s="17" t="s">
        <v>413</v>
      </c>
      <c r="F106" s="17" t="s">
        <v>445</v>
      </c>
      <c r="G106" s="17">
        <v>114</v>
      </c>
      <c r="H106" s="17">
        <v>103</v>
      </c>
      <c r="I106" s="17">
        <v>916.6</v>
      </c>
      <c r="J106" s="17">
        <v>770.5</v>
      </c>
      <c r="K106" s="17" t="s">
        <v>483</v>
      </c>
      <c r="L106" s="17" t="str">
        <f>INDEX(Vendors!$B$2:$B$13,MATCH(C106,Vendors!$A$2:$A$13,0))</f>
        <v>Cascade Creamery Supply</v>
      </c>
      <c r="M106" s="18">
        <f t="shared" si="12"/>
        <v>1</v>
      </c>
      <c r="N106" s="18">
        <f t="shared" si="13"/>
        <v>0</v>
      </c>
      <c r="O106" s="19">
        <f t="shared" si="14"/>
        <v>-0.15939341042984947</v>
      </c>
      <c r="P106" s="18">
        <f t="shared" si="15"/>
        <v>7</v>
      </c>
    </row>
    <row r="107" spans="1:16" x14ac:dyDescent="0.25">
      <c r="A107" s="17">
        <v>301</v>
      </c>
      <c r="B107" s="17" t="s">
        <v>484</v>
      </c>
      <c r="C107" s="17">
        <v>18</v>
      </c>
      <c r="D107" s="17" t="s">
        <v>125</v>
      </c>
      <c r="E107" s="17" t="s">
        <v>470</v>
      </c>
      <c r="F107" s="17" t="s">
        <v>180</v>
      </c>
      <c r="G107" s="17">
        <v>174</v>
      </c>
      <c r="H107" s="17">
        <v>174</v>
      </c>
      <c r="I107" s="17">
        <v>3191.2</v>
      </c>
      <c r="J107" s="17">
        <v>3128.1</v>
      </c>
      <c r="K107" s="17" t="s">
        <v>485</v>
      </c>
      <c r="L107" s="17" t="str">
        <f>INDEX(Vendors!$B$2:$B$13,MATCH(C107,Vendors!$A$2:$A$13,0))</f>
        <v>Crestline Packaging Supply</v>
      </c>
      <c r="M107" s="18">
        <f t="shared" si="12"/>
        <v>1</v>
      </c>
      <c r="N107" s="18">
        <f t="shared" si="13"/>
        <v>1</v>
      </c>
      <c r="O107" s="19">
        <f t="shared" si="14"/>
        <v>-1.977312609676608E-2</v>
      </c>
      <c r="P107" s="18">
        <f t="shared" si="15"/>
        <v>8</v>
      </c>
    </row>
    <row r="108" spans="1:16" x14ac:dyDescent="0.25">
      <c r="A108" s="17">
        <v>302</v>
      </c>
      <c r="B108" s="17" t="s">
        <v>486</v>
      </c>
      <c r="C108" s="17">
        <v>15</v>
      </c>
      <c r="D108" s="17" t="s">
        <v>125</v>
      </c>
      <c r="E108" s="17" t="s">
        <v>180</v>
      </c>
      <c r="F108" s="17" t="s">
        <v>442</v>
      </c>
      <c r="G108" s="17">
        <v>157</v>
      </c>
      <c r="H108" s="17">
        <v>157</v>
      </c>
      <c r="I108" s="17">
        <v>1851</v>
      </c>
      <c r="J108" s="17">
        <v>1815.1</v>
      </c>
      <c r="K108" s="17" t="s">
        <v>487</v>
      </c>
      <c r="L108" s="17" t="str">
        <f>INDEX(Vendors!$B$2:$B$13,MATCH(C108,Vendors!$A$2:$A$13,0))</f>
        <v>Heritage Farms Dairy</v>
      </c>
      <c r="M108" s="18">
        <f t="shared" si="12"/>
        <v>1</v>
      </c>
      <c r="N108" s="18">
        <f t="shared" si="13"/>
        <v>1</v>
      </c>
      <c r="O108" s="19">
        <f t="shared" si="14"/>
        <v>-1.9394921663965472E-2</v>
      </c>
      <c r="P108" s="18">
        <f t="shared" si="15"/>
        <v>8</v>
      </c>
    </row>
    <row r="109" spans="1:16" x14ac:dyDescent="0.25">
      <c r="A109" s="17">
        <v>303</v>
      </c>
      <c r="B109" s="17" t="s">
        <v>488</v>
      </c>
      <c r="C109" s="17">
        <v>21</v>
      </c>
      <c r="D109" s="17" t="s">
        <v>104</v>
      </c>
      <c r="E109" s="17" t="s">
        <v>467</v>
      </c>
      <c r="F109" s="17" t="s">
        <v>470</v>
      </c>
      <c r="G109" s="17">
        <v>198</v>
      </c>
      <c r="H109" s="17">
        <v>198</v>
      </c>
      <c r="I109" s="17">
        <v>805.9</v>
      </c>
      <c r="J109" s="17">
        <v>806.6</v>
      </c>
      <c r="K109" s="17" t="s">
        <v>489</v>
      </c>
      <c r="L109" s="17" t="str">
        <f>INDEX(Vendors!$B$2:$B$13,MATCH(C109,Vendors!$A$2:$A$13,0))</f>
        <v>Coastal Freight Distributors</v>
      </c>
      <c r="M109" s="18">
        <f t="shared" si="12"/>
        <v>1</v>
      </c>
      <c r="N109" s="18">
        <f t="shared" si="13"/>
        <v>1</v>
      </c>
      <c r="O109" s="19">
        <f t="shared" si="14"/>
        <v>8.6859411837702627E-4</v>
      </c>
      <c r="P109" s="18">
        <f t="shared" si="15"/>
        <v>8</v>
      </c>
    </row>
    <row r="110" spans="1:16" x14ac:dyDescent="0.25">
      <c r="A110" s="17">
        <v>304</v>
      </c>
      <c r="B110" s="17" t="s">
        <v>490</v>
      </c>
      <c r="C110" s="17">
        <v>14</v>
      </c>
      <c r="D110" s="17" t="s">
        <v>102</v>
      </c>
      <c r="E110" s="17" t="s">
        <v>491</v>
      </c>
      <c r="F110" s="17" t="s">
        <v>491</v>
      </c>
      <c r="G110" s="17">
        <v>87</v>
      </c>
      <c r="H110" s="17">
        <v>87</v>
      </c>
      <c r="I110" s="17">
        <v>2054.1</v>
      </c>
      <c r="J110" s="17">
        <v>1772.2</v>
      </c>
      <c r="K110" s="17" t="s">
        <v>492</v>
      </c>
      <c r="L110" s="17" t="str">
        <f>INDEX(Vendors!$B$2:$B$13,MATCH(C110,Vendors!$A$2:$A$13,0))</f>
        <v>Cascade Creamery Supply</v>
      </c>
      <c r="M110" s="18">
        <f t="shared" si="12"/>
        <v>1</v>
      </c>
      <c r="N110" s="18">
        <f t="shared" si="13"/>
        <v>1</v>
      </c>
      <c r="O110" s="19">
        <f t="shared" si="14"/>
        <v>-0.137237719682586</v>
      </c>
      <c r="P110" s="18">
        <f t="shared" si="15"/>
        <v>8</v>
      </c>
    </row>
    <row r="111" spans="1:16" x14ac:dyDescent="0.25">
      <c r="A111" s="17">
        <v>305</v>
      </c>
      <c r="B111" s="17" t="s">
        <v>493</v>
      </c>
      <c r="C111" s="17">
        <v>13</v>
      </c>
      <c r="D111" s="17" t="s">
        <v>139</v>
      </c>
      <c r="E111" s="17" t="s">
        <v>494</v>
      </c>
      <c r="F111" s="17" t="s">
        <v>494</v>
      </c>
      <c r="G111" s="17">
        <v>173</v>
      </c>
      <c r="H111" s="17">
        <v>173</v>
      </c>
      <c r="I111" s="17">
        <v>1027.5999999999999</v>
      </c>
      <c r="J111" s="17">
        <v>1041.8</v>
      </c>
      <c r="K111" s="17" t="s">
        <v>495</v>
      </c>
      <c r="L111" s="17" t="str">
        <f>INDEX(Vendors!$B$2:$B$13,MATCH(C111,Vendors!$A$2:$A$13,0))</f>
        <v>Meadowbrook Dairy Co-op</v>
      </c>
      <c r="M111" s="18">
        <f t="shared" si="12"/>
        <v>1</v>
      </c>
      <c r="N111" s="18">
        <f t="shared" si="13"/>
        <v>1</v>
      </c>
      <c r="O111" s="19">
        <f t="shared" si="14"/>
        <v>1.3818606461658278E-2</v>
      </c>
      <c r="P111" s="18">
        <f t="shared" si="15"/>
        <v>9</v>
      </c>
    </row>
    <row r="112" spans="1:16" x14ac:dyDescent="0.25">
      <c r="A112" s="17">
        <v>306</v>
      </c>
      <c r="B112" s="17" t="s">
        <v>496</v>
      </c>
      <c r="C112" s="17">
        <v>20</v>
      </c>
      <c r="D112" s="17" t="s">
        <v>107</v>
      </c>
      <c r="E112" s="17" t="s">
        <v>497</v>
      </c>
      <c r="F112" s="17" t="s">
        <v>498</v>
      </c>
      <c r="G112" s="17">
        <v>142</v>
      </c>
      <c r="H112" s="17">
        <v>142</v>
      </c>
      <c r="I112" s="17">
        <v>1320.6</v>
      </c>
      <c r="J112" s="17">
        <v>1345.5</v>
      </c>
      <c r="K112" s="17" t="s">
        <v>499</v>
      </c>
      <c r="L112" s="17" t="str">
        <f>INDEX(Vendors!$B$2:$B$13,MATCH(C112,Vendors!$A$2:$A$13,0))</f>
        <v>Ridgeway Cold Storage Logistics</v>
      </c>
      <c r="M112" s="18">
        <f t="shared" si="12"/>
        <v>1</v>
      </c>
      <c r="N112" s="18">
        <f t="shared" si="13"/>
        <v>1</v>
      </c>
      <c r="O112" s="19">
        <f t="shared" si="14"/>
        <v>1.8855065879145913E-2</v>
      </c>
      <c r="P112" s="18">
        <f t="shared" si="15"/>
        <v>8</v>
      </c>
    </row>
    <row r="113" spans="1:16" x14ac:dyDescent="0.25">
      <c r="A113" s="17">
        <v>307</v>
      </c>
      <c r="B113" s="17" t="s">
        <v>500</v>
      </c>
      <c r="C113" s="17">
        <v>16</v>
      </c>
      <c r="D113" s="17" t="s">
        <v>98</v>
      </c>
      <c r="E113" s="17" t="s">
        <v>501</v>
      </c>
      <c r="F113" s="17" t="s">
        <v>502</v>
      </c>
      <c r="G113" s="17">
        <v>19</v>
      </c>
      <c r="H113" s="17">
        <v>19</v>
      </c>
      <c r="I113" s="17">
        <v>160.4</v>
      </c>
      <c r="J113" s="17">
        <v>160.1</v>
      </c>
      <c r="K113" s="17" t="s">
        <v>503</v>
      </c>
      <c r="L113" s="17" t="str">
        <f>INDEX(Vendors!$B$2:$B$13,MATCH(C113,Vendors!$A$2:$A$13,0))</f>
        <v>Bluegrass Milk Producers</v>
      </c>
      <c r="M113" s="18">
        <f t="shared" si="12"/>
        <v>0</v>
      </c>
      <c r="N113" s="18">
        <f t="shared" si="13"/>
        <v>1</v>
      </c>
      <c r="O113" s="19">
        <f t="shared" si="14"/>
        <v>-1.8703241895262554E-3</v>
      </c>
      <c r="P113" s="18">
        <f t="shared" si="15"/>
        <v>9</v>
      </c>
    </row>
    <row r="114" spans="1:16" x14ac:dyDescent="0.25">
      <c r="A114" s="17">
        <v>308</v>
      </c>
      <c r="B114" s="17" t="s">
        <v>504</v>
      </c>
      <c r="C114" s="17">
        <v>23</v>
      </c>
      <c r="D114" s="17" t="s">
        <v>149</v>
      </c>
      <c r="E114" s="17" t="s">
        <v>498</v>
      </c>
      <c r="F114" s="17" t="s">
        <v>480</v>
      </c>
      <c r="G114" s="17">
        <v>159</v>
      </c>
      <c r="H114" s="17">
        <v>159</v>
      </c>
      <c r="I114" s="17">
        <v>1596.4</v>
      </c>
      <c r="J114" s="17">
        <v>1596.6</v>
      </c>
      <c r="K114" s="17" t="s">
        <v>505</v>
      </c>
      <c r="L114" s="17" t="str">
        <f>INDEX(Vendors!$B$2:$B$13,MATCH(C114,Vendors!$A$2:$A$13,0))</f>
        <v>PrecisionPack Supply Co.</v>
      </c>
      <c r="M114" s="18">
        <f t="shared" si="12"/>
        <v>1</v>
      </c>
      <c r="N114" s="18">
        <f t="shared" si="13"/>
        <v>1</v>
      </c>
      <c r="O114" s="19">
        <f t="shared" si="14"/>
        <v>1.2528188423942502E-4</v>
      </c>
      <c r="P114" s="18">
        <f t="shared" si="15"/>
        <v>8</v>
      </c>
    </row>
    <row r="115" spans="1:16" x14ac:dyDescent="0.25">
      <c r="A115" s="17">
        <v>309</v>
      </c>
      <c r="B115" s="17" t="s">
        <v>506</v>
      </c>
      <c r="C115" s="17">
        <v>15</v>
      </c>
      <c r="D115" s="17" t="s">
        <v>95</v>
      </c>
      <c r="E115" s="17" t="s">
        <v>180</v>
      </c>
      <c r="F115" s="17" t="s">
        <v>442</v>
      </c>
      <c r="G115" s="17">
        <v>129</v>
      </c>
      <c r="H115" s="17">
        <v>129</v>
      </c>
      <c r="I115" s="17">
        <v>2478.1</v>
      </c>
      <c r="J115" s="17">
        <v>2474</v>
      </c>
      <c r="K115" s="17" t="s">
        <v>507</v>
      </c>
      <c r="L115" s="17" t="str">
        <f>INDEX(Vendors!$B$2:$B$13,MATCH(C115,Vendors!$A$2:$A$13,0))</f>
        <v>Heritage Farms Dairy</v>
      </c>
      <c r="M115" s="18">
        <f t="shared" si="12"/>
        <v>1</v>
      </c>
      <c r="N115" s="18">
        <f t="shared" si="13"/>
        <v>1</v>
      </c>
      <c r="O115" s="19">
        <f t="shared" si="14"/>
        <v>-1.6544933618497678E-3</v>
      </c>
      <c r="P115" s="18">
        <f t="shared" si="15"/>
        <v>8</v>
      </c>
    </row>
    <row r="116" spans="1:16" x14ac:dyDescent="0.25">
      <c r="A116" s="17">
        <v>310</v>
      </c>
      <c r="B116" s="17" t="s">
        <v>508</v>
      </c>
      <c r="C116" s="17">
        <v>15</v>
      </c>
      <c r="D116" s="17" t="s">
        <v>152</v>
      </c>
      <c r="E116" s="17" t="s">
        <v>480</v>
      </c>
      <c r="F116" s="17" t="s">
        <v>480</v>
      </c>
      <c r="G116" s="17">
        <v>42</v>
      </c>
      <c r="H116" s="17">
        <v>42</v>
      </c>
      <c r="I116" s="17">
        <v>396.9</v>
      </c>
      <c r="J116" s="17">
        <v>397</v>
      </c>
      <c r="K116" s="17" t="s">
        <v>509</v>
      </c>
      <c r="L116" s="17" t="str">
        <f>INDEX(Vendors!$B$2:$B$13,MATCH(C116,Vendors!$A$2:$A$13,0))</f>
        <v>Heritage Farms Dairy</v>
      </c>
      <c r="M116" s="18">
        <f t="shared" si="12"/>
        <v>1</v>
      </c>
      <c r="N116" s="18">
        <f t="shared" si="13"/>
        <v>1</v>
      </c>
      <c r="O116" s="19">
        <f t="shared" si="14"/>
        <v>2.5195263290507118E-4</v>
      </c>
      <c r="P116" s="18">
        <f t="shared" si="15"/>
        <v>8</v>
      </c>
    </row>
    <row r="117" spans="1:16" x14ac:dyDescent="0.25">
      <c r="A117" s="17">
        <v>311</v>
      </c>
      <c r="B117" s="17" t="s">
        <v>510</v>
      </c>
      <c r="C117" s="17">
        <v>23</v>
      </c>
      <c r="D117" s="17" t="s">
        <v>98</v>
      </c>
      <c r="E117" s="17" t="s">
        <v>467</v>
      </c>
      <c r="F117" s="17" t="s">
        <v>467</v>
      </c>
      <c r="G117" s="17">
        <v>197</v>
      </c>
      <c r="H117" s="17">
        <v>197</v>
      </c>
      <c r="I117" s="17">
        <v>3575.5</v>
      </c>
      <c r="J117" s="17">
        <v>3611.5</v>
      </c>
      <c r="K117" s="17" t="s">
        <v>511</v>
      </c>
      <c r="L117" s="17" t="str">
        <f>INDEX(Vendors!$B$2:$B$13,MATCH(C117,Vendors!$A$2:$A$13,0))</f>
        <v>PrecisionPack Supply Co.</v>
      </c>
      <c r="M117" s="18">
        <f t="shared" si="12"/>
        <v>1</v>
      </c>
      <c r="N117" s="18">
        <f t="shared" si="13"/>
        <v>1</v>
      </c>
      <c r="O117" s="19">
        <f t="shared" si="14"/>
        <v>1.0068521885051042E-2</v>
      </c>
      <c r="P117" s="18">
        <f t="shared" si="15"/>
        <v>8</v>
      </c>
    </row>
    <row r="118" spans="1:16" x14ac:dyDescent="0.25">
      <c r="A118" s="17">
        <v>312</v>
      </c>
      <c r="B118" s="17" t="s">
        <v>512</v>
      </c>
      <c r="C118" s="17">
        <v>19</v>
      </c>
      <c r="D118" s="17" t="s">
        <v>141</v>
      </c>
      <c r="E118" s="17" t="s">
        <v>497</v>
      </c>
      <c r="F118" s="17" t="s">
        <v>497</v>
      </c>
      <c r="G118" s="17">
        <v>167</v>
      </c>
      <c r="H118" s="17">
        <v>167</v>
      </c>
      <c r="I118" s="17">
        <v>3418.5</v>
      </c>
      <c r="J118" s="17">
        <v>3484.4</v>
      </c>
      <c r="K118" s="17" t="s">
        <v>513</v>
      </c>
      <c r="L118" s="17" t="str">
        <f>INDEX(Vendors!$B$2:$B$13,MATCH(C118,Vendors!$A$2:$A$13,0))</f>
        <v>Northfield Dairy Ingredients</v>
      </c>
      <c r="M118" s="18">
        <f t="shared" si="12"/>
        <v>1</v>
      </c>
      <c r="N118" s="18">
        <f t="shared" si="13"/>
        <v>1</v>
      </c>
      <c r="O118" s="19">
        <f t="shared" si="14"/>
        <v>1.9277460874652652E-2</v>
      </c>
      <c r="P118" s="18">
        <f t="shared" si="15"/>
        <v>8</v>
      </c>
    </row>
    <row r="119" spans="1:16" x14ac:dyDescent="0.25">
      <c r="A119" s="17">
        <v>313</v>
      </c>
      <c r="B119" s="17" t="s">
        <v>514</v>
      </c>
      <c r="C119" s="17">
        <v>20</v>
      </c>
      <c r="D119" s="17" t="s">
        <v>116</v>
      </c>
      <c r="E119" s="17" t="s">
        <v>467</v>
      </c>
      <c r="F119" s="17" t="s">
        <v>467</v>
      </c>
      <c r="G119" s="17">
        <v>26</v>
      </c>
      <c r="H119" s="17">
        <v>26</v>
      </c>
      <c r="I119" s="17">
        <v>402</v>
      </c>
      <c r="J119" s="17">
        <v>399.2</v>
      </c>
      <c r="K119" s="17" t="s">
        <v>515</v>
      </c>
      <c r="L119" s="17" t="str">
        <f>INDEX(Vendors!$B$2:$B$13,MATCH(C119,Vendors!$A$2:$A$13,0))</f>
        <v>Ridgeway Cold Storage Logistics</v>
      </c>
      <c r="M119" s="18">
        <f t="shared" si="12"/>
        <v>1</v>
      </c>
      <c r="N119" s="18">
        <f t="shared" si="13"/>
        <v>1</v>
      </c>
      <c r="O119" s="19">
        <f t="shared" si="14"/>
        <v>-6.9651741293532618E-3</v>
      </c>
      <c r="P119" s="18">
        <f t="shared" si="15"/>
        <v>8</v>
      </c>
    </row>
    <row r="120" spans="1:16" x14ac:dyDescent="0.25">
      <c r="A120" s="17">
        <v>314</v>
      </c>
      <c r="B120" s="17" t="s">
        <v>516</v>
      </c>
      <c r="C120" s="17">
        <v>22</v>
      </c>
      <c r="D120" s="17" t="s">
        <v>113</v>
      </c>
      <c r="E120" s="17" t="s">
        <v>501</v>
      </c>
      <c r="F120" s="17" t="s">
        <v>517</v>
      </c>
      <c r="G120" s="17">
        <v>63</v>
      </c>
      <c r="H120" s="17">
        <v>63</v>
      </c>
      <c r="I120" s="17">
        <v>982.2</v>
      </c>
      <c r="J120" s="17">
        <v>977.2</v>
      </c>
      <c r="K120" s="17" t="s">
        <v>518</v>
      </c>
      <c r="L120" s="17" t="str">
        <f>INDEX(Vendors!$B$2:$B$13,MATCH(C120,Vendors!$A$2:$A$13,0))</f>
        <v>Sunrise Dairy Cooperative</v>
      </c>
      <c r="M120" s="18">
        <f t="shared" si="12"/>
        <v>1</v>
      </c>
      <c r="N120" s="18">
        <f t="shared" si="13"/>
        <v>1</v>
      </c>
      <c r="O120" s="19">
        <f t="shared" si="14"/>
        <v>-5.0906129097943393E-3</v>
      </c>
      <c r="P120" s="18">
        <f t="shared" si="15"/>
        <v>9</v>
      </c>
    </row>
    <row r="121" spans="1:16" x14ac:dyDescent="0.25">
      <c r="A121" s="17">
        <v>315</v>
      </c>
      <c r="B121" s="17" t="s">
        <v>519</v>
      </c>
      <c r="C121" s="17">
        <v>16</v>
      </c>
      <c r="D121" s="17" t="s">
        <v>107</v>
      </c>
      <c r="E121" s="17" t="s">
        <v>517</v>
      </c>
      <c r="F121" s="17" t="s">
        <v>181</v>
      </c>
      <c r="G121" s="17">
        <v>183</v>
      </c>
      <c r="H121" s="17">
        <v>183</v>
      </c>
      <c r="I121" s="17">
        <v>1780.6</v>
      </c>
      <c r="J121" s="17">
        <v>1763.8</v>
      </c>
      <c r="K121" s="17" t="s">
        <v>520</v>
      </c>
      <c r="L121" s="17" t="str">
        <f>INDEX(Vendors!$B$2:$B$13,MATCH(C121,Vendors!$A$2:$A$13,0))</f>
        <v>Bluegrass Milk Producers</v>
      </c>
      <c r="M121" s="18">
        <f t="shared" si="12"/>
        <v>1</v>
      </c>
      <c r="N121" s="18">
        <f t="shared" si="13"/>
        <v>1</v>
      </c>
      <c r="O121" s="19">
        <f t="shared" si="14"/>
        <v>-9.4350219027293913E-3</v>
      </c>
      <c r="P121" s="18">
        <f t="shared" si="15"/>
        <v>9</v>
      </c>
    </row>
    <row r="122" spans="1:16" x14ac:dyDescent="0.25">
      <c r="A122" s="17">
        <v>316</v>
      </c>
      <c r="B122" s="17" t="s">
        <v>521</v>
      </c>
      <c r="C122" s="17">
        <v>21</v>
      </c>
      <c r="D122" s="17" t="s">
        <v>98</v>
      </c>
      <c r="E122" s="17" t="s">
        <v>470</v>
      </c>
      <c r="F122" s="17" t="s">
        <v>497</v>
      </c>
      <c r="G122" s="17">
        <v>152</v>
      </c>
      <c r="H122" s="17">
        <v>152</v>
      </c>
      <c r="I122" s="17">
        <v>2640.2</v>
      </c>
      <c r="J122" s="17">
        <v>2198.6999999999998</v>
      </c>
      <c r="K122" s="17" t="s">
        <v>522</v>
      </c>
      <c r="L122" s="17" t="str">
        <f>INDEX(Vendors!$B$2:$B$13,MATCH(C122,Vendors!$A$2:$A$13,0))</f>
        <v>Coastal Freight Distributors</v>
      </c>
      <c r="M122" s="18">
        <f t="shared" si="12"/>
        <v>0</v>
      </c>
      <c r="N122" s="18">
        <f t="shared" si="13"/>
        <v>1</v>
      </c>
      <c r="O122" s="19">
        <f t="shared" si="14"/>
        <v>-0.16722218013786835</v>
      </c>
      <c r="P122" s="18">
        <f t="shared" si="15"/>
        <v>8</v>
      </c>
    </row>
    <row r="123" spans="1:16" x14ac:dyDescent="0.25">
      <c r="A123" s="17">
        <v>317</v>
      </c>
      <c r="B123" s="17" t="s">
        <v>523</v>
      </c>
      <c r="C123" s="17">
        <v>23</v>
      </c>
      <c r="D123" s="17" t="s">
        <v>156</v>
      </c>
      <c r="E123" s="17" t="s">
        <v>524</v>
      </c>
      <c r="F123" s="17" t="s">
        <v>525</v>
      </c>
      <c r="G123" s="17">
        <v>77</v>
      </c>
      <c r="H123" s="17">
        <v>77</v>
      </c>
      <c r="I123" s="17">
        <v>734.6</v>
      </c>
      <c r="J123" s="17">
        <v>729.6</v>
      </c>
      <c r="K123" s="17" t="s">
        <v>526</v>
      </c>
      <c r="L123" s="17" t="str">
        <f>INDEX(Vendors!$B$2:$B$13,MATCH(C123,Vendors!$A$2:$A$13,0))</f>
        <v>PrecisionPack Supply Co.</v>
      </c>
      <c r="M123" s="18">
        <f t="shared" si="12"/>
        <v>1</v>
      </c>
      <c r="N123" s="18">
        <f t="shared" si="13"/>
        <v>1</v>
      </c>
      <c r="O123" s="19">
        <f t="shared" si="14"/>
        <v>-6.8064252654505848E-3</v>
      </c>
      <c r="P123" s="18">
        <f t="shared" si="15"/>
        <v>9</v>
      </c>
    </row>
    <row r="124" spans="1:16" x14ac:dyDescent="0.25">
      <c r="A124" s="17">
        <v>318</v>
      </c>
      <c r="B124" s="17" t="s">
        <v>527</v>
      </c>
      <c r="C124" s="17">
        <v>14</v>
      </c>
      <c r="D124" s="17" t="s">
        <v>127</v>
      </c>
      <c r="E124" s="17" t="s">
        <v>525</v>
      </c>
      <c r="F124" s="17" t="s">
        <v>525</v>
      </c>
      <c r="G124" s="17">
        <v>85</v>
      </c>
      <c r="H124" s="17">
        <v>85</v>
      </c>
      <c r="I124" s="17">
        <v>570.4</v>
      </c>
      <c r="J124" s="17">
        <v>581.4</v>
      </c>
      <c r="K124" s="17" t="s">
        <v>528</v>
      </c>
      <c r="L124" s="17" t="str">
        <f>INDEX(Vendors!$B$2:$B$13,MATCH(C124,Vendors!$A$2:$A$13,0))</f>
        <v>Cascade Creamery Supply</v>
      </c>
      <c r="M124" s="18">
        <f t="shared" si="12"/>
        <v>1</v>
      </c>
      <c r="N124" s="18">
        <f t="shared" si="13"/>
        <v>1</v>
      </c>
      <c r="O124" s="19">
        <f t="shared" si="14"/>
        <v>1.9284712482468443E-2</v>
      </c>
      <c r="P124" s="18">
        <f t="shared" si="15"/>
        <v>9</v>
      </c>
    </row>
    <row r="125" spans="1:16" x14ac:dyDescent="0.25">
      <c r="A125" s="17">
        <v>319</v>
      </c>
      <c r="B125" s="17" t="s">
        <v>529</v>
      </c>
      <c r="C125" s="17">
        <v>22</v>
      </c>
      <c r="D125" s="17" t="s">
        <v>161</v>
      </c>
      <c r="E125" s="17" t="s">
        <v>502</v>
      </c>
      <c r="F125" s="17" t="s">
        <v>502</v>
      </c>
      <c r="G125" s="17">
        <v>66</v>
      </c>
      <c r="H125" s="17">
        <v>66</v>
      </c>
      <c r="I125" s="17">
        <v>1028.9000000000001</v>
      </c>
      <c r="J125" s="17">
        <v>1029.4000000000001</v>
      </c>
      <c r="K125" s="17" t="s">
        <v>530</v>
      </c>
      <c r="L125" s="17" t="str">
        <f>INDEX(Vendors!$B$2:$B$13,MATCH(C125,Vendors!$A$2:$A$13,0))</f>
        <v>Sunrise Dairy Cooperative</v>
      </c>
      <c r="M125" s="18">
        <f t="shared" si="12"/>
        <v>1</v>
      </c>
      <c r="N125" s="18">
        <f t="shared" si="13"/>
        <v>1</v>
      </c>
      <c r="O125" s="19">
        <f t="shared" si="14"/>
        <v>4.8595587520653121E-4</v>
      </c>
      <c r="P125" s="18">
        <f t="shared" si="15"/>
        <v>10</v>
      </c>
    </row>
    <row r="126" spans="1:16" x14ac:dyDescent="0.25">
      <c r="A126" s="17">
        <v>320</v>
      </c>
      <c r="B126" s="17" t="s">
        <v>531</v>
      </c>
      <c r="C126" s="17">
        <v>13</v>
      </c>
      <c r="D126" s="17" t="s">
        <v>104</v>
      </c>
      <c r="E126" s="17" t="s">
        <v>532</v>
      </c>
      <c r="F126" s="17" t="s">
        <v>532</v>
      </c>
      <c r="G126" s="17">
        <v>15</v>
      </c>
      <c r="H126" s="17">
        <v>15</v>
      </c>
      <c r="I126" s="17">
        <v>215.9</v>
      </c>
      <c r="J126" s="17">
        <v>216.1</v>
      </c>
      <c r="K126" s="17" t="s">
        <v>533</v>
      </c>
      <c r="L126" s="17" t="str">
        <f>INDEX(Vendors!$B$2:$B$13,MATCH(C126,Vendors!$A$2:$A$13,0))</f>
        <v>Meadowbrook Dairy Co-op</v>
      </c>
      <c r="M126" s="18">
        <f t="shared" si="12"/>
        <v>1</v>
      </c>
      <c r="N126" s="18">
        <f t="shared" si="13"/>
        <v>1</v>
      </c>
      <c r="O126" s="19">
        <f t="shared" si="14"/>
        <v>9.2635479388600566E-4</v>
      </c>
      <c r="P126" s="18">
        <f t="shared" si="15"/>
        <v>10</v>
      </c>
    </row>
    <row r="127" spans="1:16" x14ac:dyDescent="0.25">
      <c r="A127" s="17">
        <v>321</v>
      </c>
      <c r="B127" s="17" t="s">
        <v>534</v>
      </c>
      <c r="C127" s="17">
        <v>21</v>
      </c>
      <c r="D127" s="17" t="s">
        <v>111</v>
      </c>
      <c r="E127" s="17" t="s">
        <v>501</v>
      </c>
      <c r="F127" s="17" t="s">
        <v>501</v>
      </c>
      <c r="G127" s="17">
        <v>62</v>
      </c>
      <c r="H127" s="17">
        <v>62</v>
      </c>
      <c r="I127" s="17">
        <v>1289.5999999999999</v>
      </c>
      <c r="J127" s="17">
        <v>1264.5</v>
      </c>
      <c r="K127" s="17" t="s">
        <v>535</v>
      </c>
      <c r="L127" s="17" t="str">
        <f>INDEX(Vendors!$B$2:$B$13,MATCH(C127,Vendors!$A$2:$A$13,0))</f>
        <v>Coastal Freight Distributors</v>
      </c>
      <c r="M127" s="18">
        <f t="shared" si="12"/>
        <v>1</v>
      </c>
      <c r="N127" s="18">
        <f t="shared" si="13"/>
        <v>1</v>
      </c>
      <c r="O127" s="19">
        <f t="shared" si="14"/>
        <v>-1.9463399503722015E-2</v>
      </c>
      <c r="P127" s="18">
        <f t="shared" si="15"/>
        <v>9</v>
      </c>
    </row>
    <row r="128" spans="1:16" x14ac:dyDescent="0.25">
      <c r="A128" s="17">
        <v>322</v>
      </c>
      <c r="B128" s="17" t="s">
        <v>536</v>
      </c>
      <c r="C128" s="17">
        <v>16</v>
      </c>
      <c r="D128" s="17" t="s">
        <v>145</v>
      </c>
      <c r="E128" s="17" t="s">
        <v>537</v>
      </c>
      <c r="F128" s="17" t="s">
        <v>537</v>
      </c>
      <c r="G128" s="17">
        <v>173</v>
      </c>
      <c r="H128" s="17">
        <v>173</v>
      </c>
      <c r="I128" s="17">
        <v>2906.4</v>
      </c>
      <c r="J128" s="17">
        <v>2942.6</v>
      </c>
      <c r="K128" s="17" t="s">
        <v>538</v>
      </c>
      <c r="L128" s="17" t="str">
        <f>INDEX(Vendors!$B$2:$B$13,MATCH(C128,Vendors!$A$2:$A$13,0))</f>
        <v>Bluegrass Milk Producers</v>
      </c>
      <c r="M128" s="18">
        <f t="shared" si="12"/>
        <v>1</v>
      </c>
      <c r="N128" s="18">
        <f t="shared" si="13"/>
        <v>1</v>
      </c>
      <c r="O128" s="19">
        <f t="shared" si="14"/>
        <v>1.2455271125791294E-2</v>
      </c>
      <c r="P128" s="18">
        <f t="shared" si="15"/>
        <v>9</v>
      </c>
    </row>
    <row r="129" spans="1:16" x14ac:dyDescent="0.25">
      <c r="A129" s="17">
        <v>323</v>
      </c>
      <c r="B129" s="17" t="s">
        <v>539</v>
      </c>
      <c r="C129" s="17">
        <v>13</v>
      </c>
      <c r="D129" s="17" t="s">
        <v>98</v>
      </c>
      <c r="E129" s="17" t="s">
        <v>540</v>
      </c>
      <c r="F129" s="17" t="s">
        <v>532</v>
      </c>
      <c r="G129" s="17">
        <v>164</v>
      </c>
      <c r="H129" s="17">
        <v>164</v>
      </c>
      <c r="I129" s="17">
        <v>3029.1</v>
      </c>
      <c r="J129" s="17">
        <v>3078</v>
      </c>
      <c r="K129" s="17" t="s">
        <v>541</v>
      </c>
      <c r="L129" s="17" t="str">
        <f>INDEX(Vendors!$B$2:$B$13,MATCH(C129,Vendors!$A$2:$A$13,0))</f>
        <v>Meadowbrook Dairy Co-op</v>
      </c>
      <c r="M129" s="18">
        <f t="shared" si="12"/>
        <v>1</v>
      </c>
      <c r="N129" s="18">
        <f t="shared" si="13"/>
        <v>1</v>
      </c>
      <c r="O129" s="19">
        <f t="shared" si="14"/>
        <v>1.6143408933346568E-2</v>
      </c>
      <c r="P129" s="18">
        <f t="shared" si="15"/>
        <v>10</v>
      </c>
    </row>
    <row r="130" spans="1:16" x14ac:dyDescent="0.25">
      <c r="A130" s="17">
        <v>324</v>
      </c>
      <c r="B130" s="17" t="s">
        <v>542</v>
      </c>
      <c r="C130" s="17">
        <v>13</v>
      </c>
      <c r="D130" s="17" t="s">
        <v>98</v>
      </c>
      <c r="E130" s="17" t="s">
        <v>540</v>
      </c>
      <c r="F130" s="17" t="s">
        <v>540</v>
      </c>
      <c r="G130" s="17">
        <v>70</v>
      </c>
      <c r="H130" s="17">
        <v>70</v>
      </c>
      <c r="I130" s="17">
        <v>1598.8</v>
      </c>
      <c r="J130" s="17">
        <v>1606</v>
      </c>
      <c r="K130" s="17" t="s">
        <v>543</v>
      </c>
      <c r="L130" s="17" t="str">
        <f>INDEX(Vendors!$B$2:$B$13,MATCH(C130,Vendors!$A$2:$A$13,0))</f>
        <v>Meadowbrook Dairy Co-op</v>
      </c>
      <c r="M130" s="18">
        <f t="shared" ref="M130:M161" si="16">IF(F130&lt;=E130,1,0)</f>
        <v>1</v>
      </c>
      <c r="N130" s="18">
        <f t="shared" ref="N130:N161" si="17">IF(H130=G130,1,0)</f>
        <v>1</v>
      </c>
      <c r="O130" s="19">
        <f t="shared" ref="O130:O161" si="18">IF(I130=0,0,(J130-I130)/I130)</f>
        <v>4.5033775331498908E-3</v>
      </c>
      <c r="P130" s="18">
        <f t="shared" ref="P130:P161" si="19">INT((DATEVALUE(E130)-DATE(2026,4,6))/7)</f>
        <v>10</v>
      </c>
    </row>
    <row r="131" spans="1:16" x14ac:dyDescent="0.25">
      <c r="A131" s="17">
        <v>325</v>
      </c>
      <c r="B131" s="17" t="s">
        <v>544</v>
      </c>
      <c r="C131" s="17">
        <v>23</v>
      </c>
      <c r="D131" s="17" t="s">
        <v>109</v>
      </c>
      <c r="E131" s="17" t="s">
        <v>494</v>
      </c>
      <c r="F131" s="17" t="s">
        <v>501</v>
      </c>
      <c r="G131" s="17">
        <v>166</v>
      </c>
      <c r="H131" s="17">
        <v>166</v>
      </c>
      <c r="I131" s="17">
        <v>1341.3</v>
      </c>
      <c r="J131" s="17">
        <v>1317.1</v>
      </c>
      <c r="K131" s="17" t="s">
        <v>545</v>
      </c>
      <c r="L131" s="17" t="str">
        <f>INDEX(Vendors!$B$2:$B$13,MATCH(C131,Vendors!$A$2:$A$13,0))</f>
        <v>PrecisionPack Supply Co.</v>
      </c>
      <c r="M131" s="18">
        <f t="shared" si="16"/>
        <v>1</v>
      </c>
      <c r="N131" s="18">
        <f t="shared" si="17"/>
        <v>1</v>
      </c>
      <c r="O131" s="19">
        <f t="shared" si="18"/>
        <v>-1.8042197867740285E-2</v>
      </c>
      <c r="P131" s="18">
        <f t="shared" si="19"/>
        <v>9</v>
      </c>
    </row>
    <row r="132" spans="1:16" x14ac:dyDescent="0.25">
      <c r="A132" s="17">
        <v>326</v>
      </c>
      <c r="B132" s="17" t="s">
        <v>546</v>
      </c>
      <c r="C132" s="17">
        <v>24</v>
      </c>
      <c r="D132" s="17" t="s">
        <v>152</v>
      </c>
      <c r="E132" s="17" t="s">
        <v>181</v>
      </c>
      <c r="F132" s="17" t="s">
        <v>517</v>
      </c>
      <c r="G132" s="17">
        <v>106</v>
      </c>
      <c r="H132" s="17">
        <v>94</v>
      </c>
      <c r="I132" s="17">
        <v>2422.1</v>
      </c>
      <c r="J132" s="17">
        <v>2437.1999999999998</v>
      </c>
      <c r="K132" s="17" t="s">
        <v>547</v>
      </c>
      <c r="L132" s="17" t="str">
        <f>INDEX(Vendors!$B$2:$B$13,MATCH(C132,Vendors!$A$2:$A$13,0))</f>
        <v>Budget Dairy Wholesale</v>
      </c>
      <c r="M132" s="18">
        <f t="shared" si="16"/>
        <v>0</v>
      </c>
      <c r="N132" s="18">
        <f t="shared" si="17"/>
        <v>0</v>
      </c>
      <c r="O132" s="19">
        <f t="shared" si="18"/>
        <v>6.2342595268568227E-3</v>
      </c>
      <c r="P132" s="18">
        <f t="shared" si="19"/>
        <v>9</v>
      </c>
    </row>
    <row r="133" spans="1:16" x14ac:dyDescent="0.25">
      <c r="A133" s="17">
        <v>327</v>
      </c>
      <c r="B133" s="17" t="s">
        <v>548</v>
      </c>
      <c r="C133" s="17">
        <v>15</v>
      </c>
      <c r="D133" s="17" t="s">
        <v>111</v>
      </c>
      <c r="E133" s="17" t="s">
        <v>181</v>
      </c>
      <c r="F133" s="17" t="s">
        <v>181</v>
      </c>
      <c r="G133" s="17">
        <v>41</v>
      </c>
      <c r="H133" s="17">
        <v>41</v>
      </c>
      <c r="I133" s="17">
        <v>773.7</v>
      </c>
      <c r="J133" s="17">
        <v>784.4</v>
      </c>
      <c r="K133" s="17" t="s">
        <v>549</v>
      </c>
      <c r="L133" s="17" t="str">
        <f>INDEX(Vendors!$B$2:$B$13,MATCH(C133,Vendors!$A$2:$A$13,0))</f>
        <v>Heritage Farms Dairy</v>
      </c>
      <c r="M133" s="18">
        <f t="shared" si="16"/>
        <v>1</v>
      </c>
      <c r="N133" s="18">
        <f t="shared" si="17"/>
        <v>1</v>
      </c>
      <c r="O133" s="19">
        <f t="shared" si="18"/>
        <v>1.3829649735039333E-2</v>
      </c>
      <c r="P133" s="18">
        <f t="shared" si="19"/>
        <v>9</v>
      </c>
    </row>
    <row r="134" spans="1:16" x14ac:dyDescent="0.25">
      <c r="A134" s="17">
        <v>328</v>
      </c>
      <c r="B134" s="17" t="s">
        <v>550</v>
      </c>
      <c r="C134" s="17">
        <v>24</v>
      </c>
      <c r="D134" s="17" t="s">
        <v>98</v>
      </c>
      <c r="E134" s="17" t="s">
        <v>491</v>
      </c>
      <c r="F134" s="17" t="s">
        <v>497</v>
      </c>
      <c r="G134" s="17">
        <v>185</v>
      </c>
      <c r="H134" s="17">
        <v>185</v>
      </c>
      <c r="I134" s="17">
        <v>2464.1999999999998</v>
      </c>
      <c r="J134" s="17">
        <v>2478.1999999999998</v>
      </c>
      <c r="K134" s="17" t="s">
        <v>551</v>
      </c>
      <c r="L134" s="17" t="str">
        <f>INDEX(Vendors!$B$2:$B$13,MATCH(C134,Vendors!$A$2:$A$13,0))</f>
        <v>Budget Dairy Wholesale</v>
      </c>
      <c r="M134" s="18">
        <f t="shared" si="16"/>
        <v>1</v>
      </c>
      <c r="N134" s="18">
        <f t="shared" si="17"/>
        <v>1</v>
      </c>
      <c r="O134" s="19">
        <f t="shared" si="18"/>
        <v>5.6813570327083843E-3</v>
      </c>
      <c r="P134" s="18">
        <f t="shared" si="19"/>
        <v>8</v>
      </c>
    </row>
    <row r="135" spans="1:16" x14ac:dyDescent="0.25">
      <c r="A135" s="17">
        <v>329</v>
      </c>
      <c r="B135" s="17" t="s">
        <v>552</v>
      </c>
      <c r="C135" s="17">
        <v>16</v>
      </c>
      <c r="D135" s="17" t="s">
        <v>100</v>
      </c>
      <c r="E135" s="17" t="s">
        <v>553</v>
      </c>
      <c r="F135" s="17" t="s">
        <v>502</v>
      </c>
      <c r="G135" s="17">
        <v>70</v>
      </c>
      <c r="H135" s="17">
        <v>70</v>
      </c>
      <c r="I135" s="17">
        <v>382.9</v>
      </c>
      <c r="J135" s="17">
        <v>389.3</v>
      </c>
      <c r="K135" s="17" t="s">
        <v>554</v>
      </c>
      <c r="L135" s="17" t="str">
        <f>INDEX(Vendors!$B$2:$B$13,MATCH(C135,Vendors!$A$2:$A$13,0))</f>
        <v>Bluegrass Milk Producers</v>
      </c>
      <c r="M135" s="18">
        <f t="shared" si="16"/>
        <v>1</v>
      </c>
      <c r="N135" s="18">
        <f t="shared" si="17"/>
        <v>1</v>
      </c>
      <c r="O135" s="19">
        <f t="shared" si="18"/>
        <v>1.6714546879080791E-2</v>
      </c>
      <c r="P135" s="18">
        <f t="shared" si="19"/>
        <v>10</v>
      </c>
    </row>
    <row r="136" spans="1:16" x14ac:dyDescent="0.25">
      <c r="A136" s="17">
        <v>330</v>
      </c>
      <c r="B136" s="17" t="s">
        <v>555</v>
      </c>
      <c r="C136" s="17">
        <v>16</v>
      </c>
      <c r="D136" s="17" t="s">
        <v>159</v>
      </c>
      <c r="E136" s="17" t="s">
        <v>502</v>
      </c>
      <c r="F136" s="17" t="s">
        <v>502</v>
      </c>
      <c r="G136" s="17">
        <v>107</v>
      </c>
      <c r="H136" s="17">
        <v>96</v>
      </c>
      <c r="I136" s="17">
        <v>2469.6</v>
      </c>
      <c r="J136" s="17">
        <v>2245.8000000000002</v>
      </c>
      <c r="K136" s="17" t="s">
        <v>556</v>
      </c>
      <c r="L136" s="17" t="str">
        <f>INDEX(Vendors!$B$2:$B$13,MATCH(C136,Vendors!$A$2:$A$13,0))</f>
        <v>Bluegrass Milk Producers</v>
      </c>
      <c r="M136" s="18">
        <f t="shared" si="16"/>
        <v>1</v>
      </c>
      <c r="N136" s="18">
        <f t="shared" si="17"/>
        <v>0</v>
      </c>
      <c r="O136" s="19">
        <f t="shared" si="18"/>
        <v>-9.0621963070942557E-2</v>
      </c>
      <c r="P136" s="18">
        <f t="shared" si="19"/>
        <v>10</v>
      </c>
    </row>
    <row r="137" spans="1:16" x14ac:dyDescent="0.25">
      <c r="A137" s="17">
        <v>331</v>
      </c>
      <c r="B137" s="17" t="s">
        <v>557</v>
      </c>
      <c r="C137" s="17">
        <v>21</v>
      </c>
      <c r="D137" s="17" t="s">
        <v>130</v>
      </c>
      <c r="E137" s="17" t="s">
        <v>501</v>
      </c>
      <c r="F137" s="17" t="s">
        <v>502</v>
      </c>
      <c r="G137" s="17">
        <v>11</v>
      </c>
      <c r="H137" s="17">
        <v>11</v>
      </c>
      <c r="I137" s="17">
        <v>123.3</v>
      </c>
      <c r="J137" s="17">
        <v>123.6</v>
      </c>
      <c r="K137" s="17" t="s">
        <v>558</v>
      </c>
      <c r="L137" s="17" t="str">
        <f>INDEX(Vendors!$B$2:$B$13,MATCH(C137,Vendors!$A$2:$A$13,0))</f>
        <v>Coastal Freight Distributors</v>
      </c>
      <c r="M137" s="18">
        <f t="shared" si="16"/>
        <v>0</v>
      </c>
      <c r="N137" s="18">
        <f t="shared" si="17"/>
        <v>1</v>
      </c>
      <c r="O137" s="19">
        <f t="shared" si="18"/>
        <v>2.4330900243308773E-3</v>
      </c>
      <c r="P137" s="18">
        <f t="shared" si="19"/>
        <v>9</v>
      </c>
    </row>
    <row r="138" spans="1:16" x14ac:dyDescent="0.25">
      <c r="A138" s="17">
        <v>332</v>
      </c>
      <c r="B138" s="17" t="s">
        <v>559</v>
      </c>
      <c r="C138" s="17">
        <v>17</v>
      </c>
      <c r="D138" s="17" t="s">
        <v>152</v>
      </c>
      <c r="E138" s="17" t="s">
        <v>494</v>
      </c>
      <c r="F138" s="17" t="s">
        <v>494</v>
      </c>
      <c r="G138" s="17">
        <v>154</v>
      </c>
      <c r="H138" s="17">
        <v>154</v>
      </c>
      <c r="I138" s="17">
        <v>622.20000000000005</v>
      </c>
      <c r="J138" s="17">
        <v>612.4</v>
      </c>
      <c r="K138" s="17" t="s">
        <v>560</v>
      </c>
      <c r="L138" s="17" t="str">
        <f>INDEX(Vendors!$B$2:$B$13,MATCH(C138,Vendors!$A$2:$A$13,0))</f>
        <v>Golden Valley Creamery</v>
      </c>
      <c r="M138" s="18">
        <f t="shared" si="16"/>
        <v>1</v>
      </c>
      <c r="N138" s="18">
        <f t="shared" si="17"/>
        <v>1</v>
      </c>
      <c r="O138" s="19">
        <f t="shared" si="18"/>
        <v>-1.5750562520090113E-2</v>
      </c>
      <c r="P138" s="18">
        <f t="shared" si="19"/>
        <v>9</v>
      </c>
    </row>
    <row r="139" spans="1:16" x14ac:dyDescent="0.25">
      <c r="A139" s="17">
        <v>333</v>
      </c>
      <c r="B139" s="17" t="s">
        <v>561</v>
      </c>
      <c r="C139" s="17">
        <v>18</v>
      </c>
      <c r="D139" s="17" t="s">
        <v>104</v>
      </c>
      <c r="E139" s="17" t="s">
        <v>524</v>
      </c>
      <c r="F139" s="17" t="s">
        <v>524</v>
      </c>
      <c r="G139" s="17">
        <v>187</v>
      </c>
      <c r="H139" s="17">
        <v>187</v>
      </c>
      <c r="I139" s="17">
        <v>288</v>
      </c>
      <c r="J139" s="17">
        <v>282.8</v>
      </c>
      <c r="K139" s="17" t="s">
        <v>562</v>
      </c>
      <c r="L139" s="17" t="str">
        <f>INDEX(Vendors!$B$2:$B$13,MATCH(C139,Vendors!$A$2:$A$13,0))</f>
        <v>Crestline Packaging Supply</v>
      </c>
      <c r="M139" s="18">
        <f t="shared" si="16"/>
        <v>1</v>
      </c>
      <c r="N139" s="18">
        <f t="shared" si="17"/>
        <v>1</v>
      </c>
      <c r="O139" s="19">
        <f t="shared" si="18"/>
        <v>-1.8055555555555516E-2</v>
      </c>
      <c r="P139" s="18">
        <f t="shared" si="19"/>
        <v>9</v>
      </c>
    </row>
    <row r="140" spans="1:16" x14ac:dyDescent="0.25">
      <c r="A140" s="17">
        <v>334</v>
      </c>
      <c r="B140" s="17" t="s">
        <v>563</v>
      </c>
      <c r="C140" s="17">
        <v>22</v>
      </c>
      <c r="D140" s="17" t="s">
        <v>149</v>
      </c>
      <c r="E140" s="17" t="s">
        <v>564</v>
      </c>
      <c r="F140" s="17" t="s">
        <v>564</v>
      </c>
      <c r="G140" s="17">
        <v>192</v>
      </c>
      <c r="H140" s="17">
        <v>190</v>
      </c>
      <c r="I140" s="17">
        <v>1255.7</v>
      </c>
      <c r="J140" s="17">
        <v>1232.3</v>
      </c>
      <c r="K140" s="17" t="s">
        <v>565</v>
      </c>
      <c r="L140" s="17" t="str">
        <f>INDEX(Vendors!$B$2:$B$13,MATCH(C140,Vendors!$A$2:$A$13,0))</f>
        <v>Sunrise Dairy Cooperative</v>
      </c>
      <c r="M140" s="18">
        <f t="shared" si="16"/>
        <v>1</v>
      </c>
      <c r="N140" s="18">
        <f t="shared" si="17"/>
        <v>0</v>
      </c>
      <c r="O140" s="19">
        <f t="shared" si="18"/>
        <v>-1.8635024289241131E-2</v>
      </c>
      <c r="P140" s="18">
        <f t="shared" si="19"/>
        <v>11</v>
      </c>
    </row>
    <row r="141" spans="1:16" x14ac:dyDescent="0.25">
      <c r="A141" s="17">
        <v>335</v>
      </c>
      <c r="B141" s="17" t="s">
        <v>566</v>
      </c>
      <c r="C141" s="17">
        <v>23</v>
      </c>
      <c r="D141" s="17" t="s">
        <v>100</v>
      </c>
      <c r="E141" s="17" t="s">
        <v>540</v>
      </c>
      <c r="F141" s="17" t="s">
        <v>540</v>
      </c>
      <c r="G141" s="17">
        <v>35</v>
      </c>
      <c r="H141" s="17">
        <v>35</v>
      </c>
      <c r="I141" s="17">
        <v>571.5</v>
      </c>
      <c r="J141" s="17">
        <v>567.79999999999995</v>
      </c>
      <c r="K141" s="17" t="s">
        <v>567</v>
      </c>
      <c r="L141" s="17" t="str">
        <f>INDEX(Vendors!$B$2:$B$13,MATCH(C141,Vendors!$A$2:$A$13,0))</f>
        <v>PrecisionPack Supply Co.</v>
      </c>
      <c r="M141" s="18">
        <f t="shared" si="16"/>
        <v>1</v>
      </c>
      <c r="N141" s="18">
        <f t="shared" si="17"/>
        <v>1</v>
      </c>
      <c r="O141" s="19">
        <f t="shared" si="18"/>
        <v>-6.4741907261593101E-3</v>
      </c>
      <c r="P141" s="18">
        <f t="shared" si="19"/>
        <v>10</v>
      </c>
    </row>
    <row r="142" spans="1:16" x14ac:dyDescent="0.25">
      <c r="A142" s="17">
        <v>336</v>
      </c>
      <c r="B142" s="17" t="s">
        <v>568</v>
      </c>
      <c r="C142" s="17">
        <v>17</v>
      </c>
      <c r="D142" s="17" t="s">
        <v>95</v>
      </c>
      <c r="E142" s="17" t="s">
        <v>540</v>
      </c>
      <c r="F142" s="17" t="s">
        <v>532</v>
      </c>
      <c r="G142" s="17">
        <v>22</v>
      </c>
      <c r="H142" s="17">
        <v>22</v>
      </c>
      <c r="I142" s="17">
        <v>209.4</v>
      </c>
      <c r="J142" s="17">
        <v>213.3</v>
      </c>
      <c r="K142" s="17" t="s">
        <v>569</v>
      </c>
      <c r="L142" s="17" t="str">
        <f>INDEX(Vendors!$B$2:$B$13,MATCH(C142,Vendors!$A$2:$A$13,0))</f>
        <v>Golden Valley Creamery</v>
      </c>
      <c r="M142" s="18">
        <f t="shared" si="16"/>
        <v>1</v>
      </c>
      <c r="N142" s="18">
        <f t="shared" si="17"/>
        <v>1</v>
      </c>
      <c r="O142" s="19">
        <f t="shared" si="18"/>
        <v>1.8624641833810913E-2</v>
      </c>
      <c r="P142" s="18">
        <f t="shared" si="19"/>
        <v>10</v>
      </c>
    </row>
    <row r="143" spans="1:16" x14ac:dyDescent="0.25">
      <c r="A143" s="17">
        <v>337</v>
      </c>
      <c r="B143" s="17" t="s">
        <v>570</v>
      </c>
      <c r="C143" s="17">
        <v>21</v>
      </c>
      <c r="D143" s="17" t="s">
        <v>130</v>
      </c>
      <c r="E143" s="17" t="s">
        <v>502</v>
      </c>
      <c r="F143" s="17" t="s">
        <v>502</v>
      </c>
      <c r="G143" s="17">
        <v>115</v>
      </c>
      <c r="H143" s="17">
        <v>115</v>
      </c>
      <c r="I143" s="17">
        <v>1519.2</v>
      </c>
      <c r="J143" s="17">
        <v>1517.3</v>
      </c>
      <c r="K143" s="17" t="s">
        <v>571</v>
      </c>
      <c r="L143" s="17" t="str">
        <f>INDEX(Vendors!$B$2:$B$13,MATCH(C143,Vendors!$A$2:$A$13,0))</f>
        <v>Coastal Freight Distributors</v>
      </c>
      <c r="M143" s="18">
        <f t="shared" si="16"/>
        <v>1</v>
      </c>
      <c r="N143" s="18">
        <f t="shared" si="17"/>
        <v>1</v>
      </c>
      <c r="O143" s="19">
        <f t="shared" si="18"/>
        <v>-1.2506582411796281E-3</v>
      </c>
      <c r="P143" s="18">
        <f t="shared" si="19"/>
        <v>10</v>
      </c>
    </row>
    <row r="144" spans="1:16" x14ac:dyDescent="0.25">
      <c r="A144" s="17">
        <v>338</v>
      </c>
      <c r="B144" s="17" t="s">
        <v>572</v>
      </c>
      <c r="C144" s="17">
        <v>13</v>
      </c>
      <c r="D144" s="17" t="s">
        <v>134</v>
      </c>
      <c r="E144" s="17" t="s">
        <v>573</v>
      </c>
      <c r="F144" s="17" t="s">
        <v>573</v>
      </c>
      <c r="G144" s="17">
        <v>157</v>
      </c>
      <c r="H144" s="17">
        <v>157</v>
      </c>
      <c r="I144" s="17">
        <v>733.2</v>
      </c>
      <c r="J144" s="17">
        <v>724.5</v>
      </c>
      <c r="K144" s="17" t="s">
        <v>574</v>
      </c>
      <c r="L144" s="17" t="str">
        <f>INDEX(Vendors!$B$2:$B$13,MATCH(C144,Vendors!$A$2:$A$13,0))</f>
        <v>Meadowbrook Dairy Co-op</v>
      </c>
      <c r="M144" s="18">
        <f t="shared" si="16"/>
        <v>1</v>
      </c>
      <c r="N144" s="18">
        <f t="shared" si="17"/>
        <v>1</v>
      </c>
      <c r="O144" s="19">
        <f t="shared" si="18"/>
        <v>-1.1865793780687459E-2</v>
      </c>
      <c r="P144" s="18">
        <f t="shared" si="19"/>
        <v>11</v>
      </c>
    </row>
    <row r="145" spans="1:16" x14ac:dyDescent="0.25">
      <c r="A145" s="17">
        <v>339</v>
      </c>
      <c r="B145" s="17" t="s">
        <v>575</v>
      </c>
      <c r="C145" s="17">
        <v>13</v>
      </c>
      <c r="D145" s="17" t="s">
        <v>95</v>
      </c>
      <c r="E145" s="17" t="s">
        <v>576</v>
      </c>
      <c r="F145" s="17" t="s">
        <v>564</v>
      </c>
      <c r="G145" s="17">
        <v>187</v>
      </c>
      <c r="H145" s="17">
        <v>187</v>
      </c>
      <c r="I145" s="17">
        <v>938.7</v>
      </c>
      <c r="J145" s="17">
        <v>933</v>
      </c>
      <c r="K145" s="17" t="s">
        <v>577</v>
      </c>
      <c r="L145" s="17" t="str">
        <f>INDEX(Vendors!$B$2:$B$13,MATCH(C145,Vendors!$A$2:$A$13,0))</f>
        <v>Meadowbrook Dairy Co-op</v>
      </c>
      <c r="M145" s="18">
        <f t="shared" si="16"/>
        <v>1</v>
      </c>
      <c r="N145" s="18">
        <f t="shared" si="17"/>
        <v>1</v>
      </c>
      <c r="O145" s="19">
        <f t="shared" si="18"/>
        <v>-6.0722275487376642E-3</v>
      </c>
      <c r="P145" s="18">
        <f t="shared" si="19"/>
        <v>11</v>
      </c>
    </row>
    <row r="146" spans="1:16" x14ac:dyDescent="0.25">
      <c r="A146" s="17">
        <v>340</v>
      </c>
      <c r="B146" s="17" t="s">
        <v>578</v>
      </c>
      <c r="C146" s="17">
        <v>21</v>
      </c>
      <c r="D146" s="17" t="s">
        <v>113</v>
      </c>
      <c r="E146" s="17" t="s">
        <v>532</v>
      </c>
      <c r="F146" s="17" t="s">
        <v>579</v>
      </c>
      <c r="G146" s="17">
        <v>64</v>
      </c>
      <c r="H146" s="17">
        <v>60</v>
      </c>
      <c r="I146" s="17">
        <v>813.4</v>
      </c>
      <c r="J146" s="17">
        <v>817.8</v>
      </c>
      <c r="K146" s="17" t="s">
        <v>580</v>
      </c>
      <c r="L146" s="17" t="str">
        <f>INDEX(Vendors!$B$2:$B$13,MATCH(C146,Vendors!$A$2:$A$13,0))</f>
        <v>Coastal Freight Distributors</v>
      </c>
      <c r="M146" s="18">
        <f t="shared" si="16"/>
        <v>0</v>
      </c>
      <c r="N146" s="18">
        <f t="shared" si="17"/>
        <v>0</v>
      </c>
      <c r="O146" s="19">
        <f t="shared" si="18"/>
        <v>5.4093926727317157E-3</v>
      </c>
      <c r="P146" s="18">
        <f t="shared" si="19"/>
        <v>10</v>
      </c>
    </row>
    <row r="147" spans="1:16" x14ac:dyDescent="0.25">
      <c r="A147" s="17">
        <v>341</v>
      </c>
      <c r="B147" s="17" t="s">
        <v>581</v>
      </c>
      <c r="C147" s="17">
        <v>14</v>
      </c>
      <c r="D147" s="17" t="s">
        <v>130</v>
      </c>
      <c r="E147" s="17" t="s">
        <v>183</v>
      </c>
      <c r="F147" s="17" t="s">
        <v>579</v>
      </c>
      <c r="G147" s="17">
        <v>101</v>
      </c>
      <c r="H147" s="17">
        <v>101</v>
      </c>
      <c r="I147" s="17">
        <v>2348.1999999999998</v>
      </c>
      <c r="J147" s="17">
        <v>2371.1999999999998</v>
      </c>
      <c r="K147" s="17" t="s">
        <v>582</v>
      </c>
      <c r="L147" s="17" t="str">
        <f>INDEX(Vendors!$B$2:$B$13,MATCH(C147,Vendors!$A$2:$A$13,0))</f>
        <v>Cascade Creamery Supply</v>
      </c>
      <c r="M147" s="18">
        <f t="shared" si="16"/>
        <v>1</v>
      </c>
      <c r="N147" s="18">
        <f t="shared" si="17"/>
        <v>1</v>
      </c>
      <c r="O147" s="19">
        <f t="shared" si="18"/>
        <v>9.7947363938335752E-3</v>
      </c>
      <c r="P147" s="18">
        <f t="shared" si="19"/>
        <v>11</v>
      </c>
    </row>
    <row r="148" spans="1:16" x14ac:dyDescent="0.25">
      <c r="A148" s="17">
        <v>342</v>
      </c>
      <c r="B148" s="17" t="s">
        <v>583</v>
      </c>
      <c r="C148" s="17">
        <v>19</v>
      </c>
      <c r="D148" s="17" t="s">
        <v>159</v>
      </c>
      <c r="E148" s="17" t="s">
        <v>540</v>
      </c>
      <c r="F148" s="17" t="s">
        <v>532</v>
      </c>
      <c r="G148" s="17">
        <v>77</v>
      </c>
      <c r="H148" s="17">
        <v>77</v>
      </c>
      <c r="I148" s="17">
        <v>1066.5</v>
      </c>
      <c r="J148" s="17">
        <v>1087.0999999999999</v>
      </c>
      <c r="K148" s="17" t="s">
        <v>584</v>
      </c>
      <c r="L148" s="17" t="str">
        <f>INDEX(Vendors!$B$2:$B$13,MATCH(C148,Vendors!$A$2:$A$13,0))</f>
        <v>Northfield Dairy Ingredients</v>
      </c>
      <c r="M148" s="18">
        <f t="shared" si="16"/>
        <v>1</v>
      </c>
      <c r="N148" s="18">
        <f t="shared" si="17"/>
        <v>1</v>
      </c>
      <c r="O148" s="19">
        <f t="shared" si="18"/>
        <v>1.9315518049695179E-2</v>
      </c>
      <c r="P148" s="18">
        <f t="shared" si="19"/>
        <v>10</v>
      </c>
    </row>
    <row r="149" spans="1:16" x14ac:dyDescent="0.25">
      <c r="A149" s="17">
        <v>343</v>
      </c>
      <c r="B149" s="17" t="s">
        <v>585</v>
      </c>
      <c r="C149" s="17">
        <v>23</v>
      </c>
      <c r="D149" s="17" t="s">
        <v>111</v>
      </c>
      <c r="E149" s="17" t="s">
        <v>586</v>
      </c>
      <c r="F149" s="17" t="s">
        <v>586</v>
      </c>
      <c r="G149" s="17">
        <v>99</v>
      </c>
      <c r="H149" s="17">
        <v>99</v>
      </c>
      <c r="I149" s="17">
        <v>1314.7</v>
      </c>
      <c r="J149" s="17">
        <v>1312.1</v>
      </c>
      <c r="K149" s="17" t="s">
        <v>587</v>
      </c>
      <c r="L149" s="17" t="str">
        <f>INDEX(Vendors!$B$2:$B$13,MATCH(C149,Vendors!$A$2:$A$13,0))</f>
        <v>PrecisionPack Supply Co.</v>
      </c>
      <c r="M149" s="18">
        <f t="shared" si="16"/>
        <v>1</v>
      </c>
      <c r="N149" s="18">
        <f t="shared" si="17"/>
        <v>1</v>
      </c>
      <c r="O149" s="19">
        <f t="shared" si="18"/>
        <v>-1.9776374838367202E-3</v>
      </c>
      <c r="P149" s="18">
        <f t="shared" si="19"/>
        <v>10</v>
      </c>
    </row>
    <row r="150" spans="1:16" x14ac:dyDescent="0.25">
      <c r="A150" s="17">
        <v>344</v>
      </c>
      <c r="B150" s="17" t="s">
        <v>588</v>
      </c>
      <c r="C150" s="17">
        <v>21</v>
      </c>
      <c r="D150" s="17" t="s">
        <v>147</v>
      </c>
      <c r="E150" s="17" t="s">
        <v>502</v>
      </c>
      <c r="F150" s="17" t="s">
        <v>182</v>
      </c>
      <c r="G150" s="17">
        <v>186</v>
      </c>
      <c r="H150" s="17">
        <v>186</v>
      </c>
      <c r="I150" s="17">
        <v>2732.3</v>
      </c>
      <c r="J150" s="17">
        <v>2728.1</v>
      </c>
      <c r="K150" s="17" t="s">
        <v>589</v>
      </c>
      <c r="L150" s="17" t="str">
        <f>INDEX(Vendors!$B$2:$B$13,MATCH(C150,Vendors!$A$2:$A$13,0))</f>
        <v>Coastal Freight Distributors</v>
      </c>
      <c r="M150" s="18">
        <f t="shared" si="16"/>
        <v>1</v>
      </c>
      <c r="N150" s="18">
        <f t="shared" si="17"/>
        <v>1</v>
      </c>
      <c r="O150" s="19">
        <f t="shared" si="18"/>
        <v>-1.5371664897706227E-3</v>
      </c>
      <c r="P150" s="18">
        <f t="shared" si="19"/>
        <v>10</v>
      </c>
    </row>
    <row r="151" spans="1:16" x14ac:dyDescent="0.25">
      <c r="A151" s="17">
        <v>345</v>
      </c>
      <c r="B151" s="17" t="s">
        <v>590</v>
      </c>
      <c r="C151" s="17">
        <v>24</v>
      </c>
      <c r="D151" s="17" t="s">
        <v>111</v>
      </c>
      <c r="E151" s="17" t="s">
        <v>502</v>
      </c>
      <c r="F151" s="17" t="s">
        <v>182</v>
      </c>
      <c r="G151" s="17">
        <v>190</v>
      </c>
      <c r="H151" s="17">
        <v>180</v>
      </c>
      <c r="I151" s="17">
        <v>815.1</v>
      </c>
      <c r="J151" s="17">
        <v>806.9</v>
      </c>
      <c r="K151" s="17" t="s">
        <v>591</v>
      </c>
      <c r="L151" s="17" t="str">
        <f>INDEX(Vendors!$B$2:$B$13,MATCH(C151,Vendors!$A$2:$A$13,0))</f>
        <v>Budget Dairy Wholesale</v>
      </c>
      <c r="M151" s="18">
        <f t="shared" si="16"/>
        <v>1</v>
      </c>
      <c r="N151" s="18">
        <f t="shared" si="17"/>
        <v>0</v>
      </c>
      <c r="O151" s="19">
        <f t="shared" si="18"/>
        <v>-1.0060115323273274E-2</v>
      </c>
      <c r="P151" s="18">
        <f t="shared" si="19"/>
        <v>10</v>
      </c>
    </row>
    <row r="152" spans="1:16" x14ac:dyDescent="0.25">
      <c r="A152" s="17">
        <v>346</v>
      </c>
      <c r="B152" s="17" t="s">
        <v>592</v>
      </c>
      <c r="C152" s="17">
        <v>22</v>
      </c>
      <c r="D152" s="17" t="s">
        <v>132</v>
      </c>
      <c r="E152" s="17" t="s">
        <v>593</v>
      </c>
      <c r="F152" s="17" t="s">
        <v>184</v>
      </c>
      <c r="G152" s="17">
        <v>58</v>
      </c>
      <c r="H152" s="17">
        <v>58</v>
      </c>
      <c r="I152" s="17">
        <v>1386.2</v>
      </c>
      <c r="J152" s="17">
        <v>1138.5999999999999</v>
      </c>
      <c r="K152" s="17" t="s">
        <v>594</v>
      </c>
      <c r="L152" s="17" t="str">
        <f>INDEX(Vendors!$B$2:$B$13,MATCH(C152,Vendors!$A$2:$A$13,0))</f>
        <v>Sunrise Dairy Cooperative</v>
      </c>
      <c r="M152" s="18">
        <f t="shared" si="16"/>
        <v>1</v>
      </c>
      <c r="N152" s="18">
        <f t="shared" si="17"/>
        <v>1</v>
      </c>
      <c r="O152" s="19">
        <f t="shared" si="18"/>
        <v>-0.17861780406867706</v>
      </c>
      <c r="P152" s="18">
        <f t="shared" si="19"/>
        <v>12</v>
      </c>
    </row>
    <row r="153" spans="1:16" x14ac:dyDescent="0.25">
      <c r="A153" s="17">
        <v>347</v>
      </c>
      <c r="B153" s="17" t="s">
        <v>595</v>
      </c>
      <c r="C153" s="17">
        <v>23</v>
      </c>
      <c r="D153" s="17" t="s">
        <v>102</v>
      </c>
      <c r="E153" s="17" t="s">
        <v>596</v>
      </c>
      <c r="F153" s="17" t="s">
        <v>596</v>
      </c>
      <c r="G153" s="17">
        <v>87</v>
      </c>
      <c r="H153" s="17">
        <v>87</v>
      </c>
      <c r="I153" s="17">
        <v>970.9</v>
      </c>
      <c r="J153" s="17">
        <v>976.3</v>
      </c>
      <c r="K153" s="17" t="s">
        <v>597</v>
      </c>
      <c r="L153" s="17" t="str">
        <f>INDEX(Vendors!$B$2:$B$13,MATCH(C153,Vendors!$A$2:$A$13,0))</f>
        <v>PrecisionPack Supply Co.</v>
      </c>
      <c r="M153" s="18">
        <f t="shared" si="16"/>
        <v>1</v>
      </c>
      <c r="N153" s="18">
        <f t="shared" si="17"/>
        <v>1</v>
      </c>
      <c r="O153" s="19">
        <f t="shared" si="18"/>
        <v>5.5618498300545657E-3</v>
      </c>
      <c r="P153" s="18">
        <f t="shared" si="19"/>
        <v>11</v>
      </c>
    </row>
    <row r="154" spans="1:16" x14ac:dyDescent="0.25">
      <c r="A154" s="17">
        <v>348</v>
      </c>
      <c r="B154" s="17" t="s">
        <v>598</v>
      </c>
      <c r="C154" s="17">
        <v>14</v>
      </c>
      <c r="D154" s="17" t="s">
        <v>113</v>
      </c>
      <c r="E154" s="17" t="s">
        <v>573</v>
      </c>
      <c r="F154" s="17" t="s">
        <v>593</v>
      </c>
      <c r="G154" s="17">
        <v>18</v>
      </c>
      <c r="H154" s="17">
        <v>18</v>
      </c>
      <c r="I154" s="17">
        <v>385.7</v>
      </c>
      <c r="J154" s="17">
        <v>381.4</v>
      </c>
      <c r="K154" s="17" t="s">
        <v>599</v>
      </c>
      <c r="L154" s="17" t="str">
        <f>INDEX(Vendors!$B$2:$B$13,MATCH(C154,Vendors!$A$2:$A$13,0))</f>
        <v>Cascade Creamery Supply</v>
      </c>
      <c r="M154" s="18">
        <f t="shared" si="16"/>
        <v>0</v>
      </c>
      <c r="N154" s="18">
        <f t="shared" si="17"/>
        <v>1</v>
      </c>
      <c r="O154" s="19">
        <f t="shared" si="18"/>
        <v>-1.1148561057816987E-2</v>
      </c>
      <c r="P154" s="18">
        <f t="shared" si="19"/>
        <v>11</v>
      </c>
    </row>
    <row r="155" spans="1:16" x14ac:dyDescent="0.25">
      <c r="A155" s="17">
        <v>349</v>
      </c>
      <c r="B155" s="17" t="s">
        <v>600</v>
      </c>
      <c r="C155" s="17">
        <v>23</v>
      </c>
      <c r="D155" s="17" t="s">
        <v>116</v>
      </c>
      <c r="E155" s="17" t="s">
        <v>601</v>
      </c>
      <c r="F155" s="17" t="s">
        <v>573</v>
      </c>
      <c r="G155" s="17">
        <v>164</v>
      </c>
      <c r="H155" s="17">
        <v>164</v>
      </c>
      <c r="I155" s="17">
        <v>105</v>
      </c>
      <c r="J155" s="17">
        <v>106.5</v>
      </c>
      <c r="K155" s="17" t="s">
        <v>602</v>
      </c>
      <c r="L155" s="17" t="str">
        <f>INDEX(Vendors!$B$2:$B$13,MATCH(C155,Vendors!$A$2:$A$13,0))</f>
        <v>PrecisionPack Supply Co.</v>
      </c>
      <c r="M155" s="18">
        <f t="shared" si="16"/>
        <v>1</v>
      </c>
      <c r="N155" s="18">
        <f t="shared" si="17"/>
        <v>1</v>
      </c>
      <c r="O155" s="19">
        <f t="shared" si="18"/>
        <v>1.4285714285714285E-2</v>
      </c>
      <c r="P155" s="18">
        <f t="shared" si="19"/>
        <v>11</v>
      </c>
    </row>
    <row r="156" spans="1:16" x14ac:dyDescent="0.25">
      <c r="A156" s="17">
        <v>350</v>
      </c>
      <c r="B156" s="17" t="s">
        <v>603</v>
      </c>
      <c r="C156" s="17">
        <v>24</v>
      </c>
      <c r="D156" s="17" t="s">
        <v>136</v>
      </c>
      <c r="E156" s="17" t="s">
        <v>564</v>
      </c>
      <c r="F156" s="17" t="s">
        <v>601</v>
      </c>
      <c r="G156" s="17">
        <v>68</v>
      </c>
      <c r="H156" s="17">
        <v>68</v>
      </c>
      <c r="I156" s="17">
        <v>1121.3</v>
      </c>
      <c r="J156" s="17">
        <v>990.6</v>
      </c>
      <c r="K156" s="17" t="s">
        <v>604</v>
      </c>
      <c r="L156" s="17" t="str">
        <f>INDEX(Vendors!$B$2:$B$13,MATCH(C156,Vendors!$A$2:$A$13,0))</f>
        <v>Budget Dairy Wholesale</v>
      </c>
      <c r="M156" s="18">
        <f t="shared" si="16"/>
        <v>0</v>
      </c>
      <c r="N156" s="18">
        <f t="shared" si="17"/>
        <v>1</v>
      </c>
      <c r="O156" s="19">
        <f t="shared" si="18"/>
        <v>-0.11656113439757419</v>
      </c>
      <c r="P156" s="18">
        <f t="shared" si="19"/>
        <v>11</v>
      </c>
    </row>
    <row r="157" spans="1:16" x14ac:dyDescent="0.25">
      <c r="A157" s="17">
        <v>351</v>
      </c>
      <c r="B157" s="17" t="s">
        <v>605</v>
      </c>
      <c r="C157" s="17">
        <v>22</v>
      </c>
      <c r="D157" s="17" t="s">
        <v>156</v>
      </c>
      <c r="E157" s="17" t="s">
        <v>184</v>
      </c>
      <c r="F157" s="17" t="s">
        <v>184</v>
      </c>
      <c r="G157" s="17">
        <v>126</v>
      </c>
      <c r="H157" s="17">
        <v>126</v>
      </c>
      <c r="I157" s="17">
        <v>865.6</v>
      </c>
      <c r="J157" s="17">
        <v>879.3</v>
      </c>
      <c r="K157" s="17" t="s">
        <v>606</v>
      </c>
      <c r="L157" s="17" t="str">
        <f>INDEX(Vendors!$B$2:$B$13,MATCH(C157,Vendors!$A$2:$A$13,0))</f>
        <v>Sunrise Dairy Cooperative</v>
      </c>
      <c r="M157" s="18">
        <f t="shared" si="16"/>
        <v>1</v>
      </c>
      <c r="N157" s="18">
        <f t="shared" si="17"/>
        <v>1</v>
      </c>
      <c r="O157" s="19">
        <f t="shared" si="18"/>
        <v>1.582717190388162E-2</v>
      </c>
      <c r="P157" s="18">
        <f t="shared" si="19"/>
        <v>12</v>
      </c>
    </row>
    <row r="158" spans="1:16" x14ac:dyDescent="0.25">
      <c r="A158" s="17">
        <v>352</v>
      </c>
      <c r="B158" s="17" t="s">
        <v>607</v>
      </c>
      <c r="C158" s="17">
        <v>16</v>
      </c>
      <c r="D158" s="17" t="s">
        <v>152</v>
      </c>
      <c r="E158" s="17" t="s">
        <v>593</v>
      </c>
      <c r="F158" s="17" t="s">
        <v>593</v>
      </c>
      <c r="G158" s="17">
        <v>74</v>
      </c>
      <c r="H158" s="17">
        <v>74</v>
      </c>
      <c r="I158" s="17">
        <v>912.4</v>
      </c>
      <c r="J158" s="17">
        <v>925.5</v>
      </c>
      <c r="K158" s="17" t="s">
        <v>608</v>
      </c>
      <c r="L158" s="17" t="str">
        <f>INDEX(Vendors!$B$2:$B$13,MATCH(C158,Vendors!$A$2:$A$13,0))</f>
        <v>Bluegrass Milk Producers</v>
      </c>
      <c r="M158" s="18">
        <f t="shared" si="16"/>
        <v>1</v>
      </c>
      <c r="N158" s="18">
        <f t="shared" si="17"/>
        <v>1</v>
      </c>
      <c r="O158" s="19">
        <f t="shared" si="18"/>
        <v>1.4357737834283235E-2</v>
      </c>
      <c r="P158" s="18">
        <f t="shared" si="19"/>
        <v>12</v>
      </c>
    </row>
    <row r="159" spans="1:16" x14ac:dyDescent="0.25">
      <c r="A159" s="17">
        <v>353</v>
      </c>
      <c r="B159" s="17" t="s">
        <v>609</v>
      </c>
      <c r="C159" s="17">
        <v>21</v>
      </c>
      <c r="D159" s="17" t="s">
        <v>143</v>
      </c>
      <c r="E159" s="17" t="s">
        <v>183</v>
      </c>
      <c r="F159" s="17" t="s">
        <v>596</v>
      </c>
      <c r="G159" s="17">
        <v>12</v>
      </c>
      <c r="H159" s="17">
        <v>12</v>
      </c>
      <c r="I159" s="17">
        <v>150</v>
      </c>
      <c r="J159" s="17">
        <v>120.7</v>
      </c>
      <c r="K159" s="17" t="s">
        <v>610</v>
      </c>
      <c r="L159" s="17" t="str">
        <f>INDEX(Vendors!$B$2:$B$13,MATCH(C159,Vendors!$A$2:$A$13,0))</f>
        <v>Coastal Freight Distributors</v>
      </c>
      <c r="M159" s="18">
        <f t="shared" si="16"/>
        <v>0</v>
      </c>
      <c r="N159" s="18">
        <f t="shared" si="17"/>
        <v>1</v>
      </c>
      <c r="O159" s="19">
        <f t="shared" si="18"/>
        <v>-0.1953333333333333</v>
      </c>
      <c r="P159" s="18">
        <f t="shared" si="19"/>
        <v>11</v>
      </c>
    </row>
    <row r="160" spans="1:16" x14ac:dyDescent="0.25">
      <c r="A160" s="17">
        <v>354</v>
      </c>
      <c r="B160" s="17" t="s">
        <v>611</v>
      </c>
      <c r="C160" s="17">
        <v>21</v>
      </c>
      <c r="D160" s="17" t="s">
        <v>109</v>
      </c>
      <c r="E160" s="17" t="s">
        <v>183</v>
      </c>
      <c r="F160" s="17" t="s">
        <v>576</v>
      </c>
      <c r="G160" s="17">
        <v>142</v>
      </c>
      <c r="H160" s="17">
        <v>142</v>
      </c>
      <c r="I160" s="17">
        <v>3018.9</v>
      </c>
      <c r="J160" s="17">
        <v>2983.3</v>
      </c>
      <c r="K160" s="17" t="s">
        <v>612</v>
      </c>
      <c r="L160" s="17" t="str">
        <f>INDEX(Vendors!$B$2:$B$13,MATCH(C160,Vendors!$A$2:$A$13,0))</f>
        <v>Coastal Freight Distributors</v>
      </c>
      <c r="M160" s="18">
        <f t="shared" si="16"/>
        <v>0</v>
      </c>
      <c r="N160" s="18">
        <f t="shared" si="17"/>
        <v>1</v>
      </c>
      <c r="O160" s="19">
        <f t="shared" si="18"/>
        <v>-1.1792374706018719E-2</v>
      </c>
      <c r="P160" s="18">
        <f t="shared" si="19"/>
        <v>11</v>
      </c>
    </row>
    <row r="161" spans="1:16" x14ac:dyDescent="0.25">
      <c r="A161" s="17">
        <v>355</v>
      </c>
      <c r="B161" s="17" t="s">
        <v>613</v>
      </c>
      <c r="C161" s="17">
        <v>20</v>
      </c>
      <c r="D161" s="17" t="s">
        <v>132</v>
      </c>
      <c r="E161" s="17" t="s">
        <v>564</v>
      </c>
      <c r="F161" s="17" t="s">
        <v>183</v>
      </c>
      <c r="G161" s="17">
        <v>143</v>
      </c>
      <c r="H161" s="17">
        <v>143</v>
      </c>
      <c r="I161" s="17">
        <v>2671.2</v>
      </c>
      <c r="J161" s="17">
        <v>2723.6</v>
      </c>
      <c r="K161" s="17" t="s">
        <v>614</v>
      </c>
      <c r="L161" s="17" t="str">
        <f>INDEX(Vendors!$B$2:$B$13,MATCH(C161,Vendors!$A$2:$A$13,0))</f>
        <v>Ridgeway Cold Storage Logistics</v>
      </c>
      <c r="M161" s="18">
        <f t="shared" si="16"/>
        <v>1</v>
      </c>
      <c r="N161" s="18">
        <f t="shared" si="17"/>
        <v>1</v>
      </c>
      <c r="O161" s="19">
        <f t="shared" si="18"/>
        <v>1.9616651692123427E-2</v>
      </c>
      <c r="P161" s="18">
        <f t="shared" si="19"/>
        <v>11</v>
      </c>
    </row>
    <row r="162" spans="1:16" x14ac:dyDescent="0.25">
      <c r="A162" s="17">
        <v>356</v>
      </c>
      <c r="B162" s="17" t="s">
        <v>615</v>
      </c>
      <c r="C162" s="17">
        <v>15</v>
      </c>
      <c r="D162" s="17" t="s">
        <v>123</v>
      </c>
      <c r="E162" s="17" t="s">
        <v>573</v>
      </c>
      <c r="F162" s="17" t="s">
        <v>573</v>
      </c>
      <c r="G162" s="17">
        <v>196</v>
      </c>
      <c r="H162" s="17">
        <v>190</v>
      </c>
      <c r="I162" s="17">
        <v>3159.5</v>
      </c>
      <c r="J162" s="17">
        <v>3144.6</v>
      </c>
      <c r="K162" s="17" t="s">
        <v>616</v>
      </c>
      <c r="L162" s="17" t="str">
        <f>INDEX(Vendors!$B$2:$B$13,MATCH(C162,Vendors!$A$2:$A$13,0))</f>
        <v>Heritage Farms Dairy</v>
      </c>
      <c r="M162" s="18">
        <f t="shared" ref="M162:M196" si="20">IF(F162&lt;=E162,1,0)</f>
        <v>1</v>
      </c>
      <c r="N162" s="18">
        <f t="shared" ref="N162:N196" si="21">IF(H162=G162,1,0)</f>
        <v>0</v>
      </c>
      <c r="O162" s="19">
        <f t="shared" ref="O162:O196" si="22">IF(I162=0,0,(J162-I162)/I162)</f>
        <v>-4.7159360658332299E-3</v>
      </c>
      <c r="P162" s="18">
        <f t="shared" ref="P162:P196" si="23">INT((DATEVALUE(E162)-DATE(2026,4,6))/7)</f>
        <v>11</v>
      </c>
    </row>
    <row r="163" spans="1:16" x14ac:dyDescent="0.25">
      <c r="A163" s="17">
        <v>357</v>
      </c>
      <c r="B163" s="17" t="s">
        <v>617</v>
      </c>
      <c r="C163" s="17">
        <v>13</v>
      </c>
      <c r="D163" s="17" t="s">
        <v>95</v>
      </c>
      <c r="E163" s="17" t="s">
        <v>184</v>
      </c>
      <c r="F163" s="17" t="s">
        <v>618</v>
      </c>
      <c r="G163" s="17">
        <v>170</v>
      </c>
      <c r="H163" s="17">
        <v>170</v>
      </c>
      <c r="I163" s="17">
        <v>1552.1</v>
      </c>
      <c r="J163" s="17">
        <v>1535</v>
      </c>
      <c r="K163" s="17" t="s">
        <v>619</v>
      </c>
      <c r="L163" s="17" t="str">
        <f>INDEX(Vendors!$B$2:$B$13,MATCH(C163,Vendors!$A$2:$A$13,0))</f>
        <v>Meadowbrook Dairy Co-op</v>
      </c>
      <c r="M163" s="18">
        <f t="shared" si="20"/>
        <v>1</v>
      </c>
      <c r="N163" s="18">
        <f t="shared" si="21"/>
        <v>1</v>
      </c>
      <c r="O163" s="19">
        <f t="shared" si="22"/>
        <v>-1.1017331357515566E-2</v>
      </c>
      <c r="P163" s="18">
        <f t="shared" si="23"/>
        <v>12</v>
      </c>
    </row>
    <row r="164" spans="1:16" x14ac:dyDescent="0.25">
      <c r="A164" s="17">
        <v>358</v>
      </c>
      <c r="B164" s="17" t="s">
        <v>620</v>
      </c>
      <c r="C164" s="17">
        <v>24</v>
      </c>
      <c r="D164" s="17" t="s">
        <v>123</v>
      </c>
      <c r="E164" s="17" t="s">
        <v>564</v>
      </c>
      <c r="F164" s="17" t="s">
        <v>593</v>
      </c>
      <c r="G164" s="17">
        <v>110</v>
      </c>
      <c r="H164" s="17">
        <v>110</v>
      </c>
      <c r="I164" s="17">
        <v>498.3</v>
      </c>
      <c r="J164" s="17">
        <v>403.1</v>
      </c>
      <c r="K164" s="17" t="s">
        <v>621</v>
      </c>
      <c r="L164" s="17" t="str">
        <f>INDEX(Vendors!$B$2:$B$13,MATCH(C164,Vendors!$A$2:$A$13,0))</f>
        <v>Budget Dairy Wholesale</v>
      </c>
      <c r="M164" s="18">
        <f t="shared" si="20"/>
        <v>0</v>
      </c>
      <c r="N164" s="18">
        <f t="shared" si="21"/>
        <v>1</v>
      </c>
      <c r="O164" s="19">
        <f t="shared" si="22"/>
        <v>-0.19104956853301222</v>
      </c>
      <c r="P164" s="18">
        <f t="shared" si="23"/>
        <v>11</v>
      </c>
    </row>
    <row r="165" spans="1:16" x14ac:dyDescent="0.25">
      <c r="A165" s="17">
        <v>359</v>
      </c>
      <c r="B165" s="17" t="s">
        <v>622</v>
      </c>
      <c r="C165" s="17">
        <v>23</v>
      </c>
      <c r="D165" s="17" t="s">
        <v>109</v>
      </c>
      <c r="E165" s="17" t="s">
        <v>601</v>
      </c>
      <c r="F165" s="17" t="s">
        <v>601</v>
      </c>
      <c r="G165" s="17">
        <v>47</v>
      </c>
      <c r="H165" s="17">
        <v>47</v>
      </c>
      <c r="I165" s="17">
        <v>759</v>
      </c>
      <c r="J165" s="17">
        <v>768.6</v>
      </c>
      <c r="K165" s="17" t="s">
        <v>623</v>
      </c>
      <c r="L165" s="17" t="str">
        <f>INDEX(Vendors!$B$2:$B$13,MATCH(C165,Vendors!$A$2:$A$13,0))</f>
        <v>PrecisionPack Supply Co.</v>
      </c>
      <c r="M165" s="18">
        <f t="shared" si="20"/>
        <v>1</v>
      </c>
      <c r="N165" s="18">
        <f t="shared" si="21"/>
        <v>1</v>
      </c>
      <c r="O165" s="19">
        <f t="shared" si="22"/>
        <v>1.2648221343873547E-2</v>
      </c>
      <c r="P165" s="18">
        <f t="shared" si="23"/>
        <v>11</v>
      </c>
    </row>
    <row r="166" spans="1:16" x14ac:dyDescent="0.25">
      <c r="A166" s="17">
        <v>360</v>
      </c>
      <c r="B166" s="17" t="s">
        <v>624</v>
      </c>
      <c r="C166" s="17">
        <v>17</v>
      </c>
      <c r="D166" s="17" t="s">
        <v>149</v>
      </c>
      <c r="E166" s="17" t="s">
        <v>625</v>
      </c>
      <c r="F166" s="17" t="s">
        <v>626</v>
      </c>
      <c r="G166" s="17">
        <v>100</v>
      </c>
      <c r="H166" s="17">
        <v>100</v>
      </c>
      <c r="I166" s="17">
        <v>615</v>
      </c>
      <c r="J166" s="17">
        <v>619.6</v>
      </c>
      <c r="K166" s="17" t="s">
        <v>627</v>
      </c>
      <c r="L166" s="17" t="str">
        <f>INDEX(Vendors!$B$2:$B$13,MATCH(C166,Vendors!$A$2:$A$13,0))</f>
        <v>Golden Valley Creamery</v>
      </c>
      <c r="M166" s="18">
        <f t="shared" si="20"/>
        <v>1</v>
      </c>
      <c r="N166" s="18">
        <f t="shared" si="21"/>
        <v>1</v>
      </c>
      <c r="O166" s="19">
        <f t="shared" si="22"/>
        <v>7.4796747967480048E-3</v>
      </c>
      <c r="P166" s="18">
        <f t="shared" si="23"/>
        <v>12</v>
      </c>
    </row>
    <row r="167" spans="1:16" x14ac:dyDescent="0.25">
      <c r="A167" s="17">
        <v>361</v>
      </c>
      <c r="B167" s="17" t="s">
        <v>628</v>
      </c>
      <c r="C167" s="17">
        <v>19</v>
      </c>
      <c r="D167" s="17" t="s">
        <v>143</v>
      </c>
      <c r="E167" s="17" t="s">
        <v>626</v>
      </c>
      <c r="F167" s="17" t="s">
        <v>629</v>
      </c>
      <c r="G167" s="17">
        <v>101</v>
      </c>
      <c r="H167" s="17">
        <v>101</v>
      </c>
      <c r="I167" s="17">
        <v>796.9</v>
      </c>
      <c r="J167" s="17">
        <v>794.6</v>
      </c>
      <c r="K167" s="17" t="s">
        <v>630</v>
      </c>
      <c r="L167" s="17" t="str">
        <f>INDEX(Vendors!$B$2:$B$13,MATCH(C167,Vendors!$A$2:$A$13,0))</f>
        <v>Northfield Dairy Ingredients</v>
      </c>
      <c r="M167" s="18">
        <f t="shared" si="20"/>
        <v>1</v>
      </c>
      <c r="N167" s="18">
        <f t="shared" si="21"/>
        <v>1</v>
      </c>
      <c r="O167" s="19">
        <f t="shared" si="22"/>
        <v>-2.8861839628560103E-3</v>
      </c>
      <c r="P167" s="18">
        <f t="shared" si="23"/>
        <v>12</v>
      </c>
    </row>
    <row r="168" spans="1:16" x14ac:dyDescent="0.25">
      <c r="A168" s="17">
        <v>362</v>
      </c>
      <c r="B168" s="17" t="s">
        <v>631</v>
      </c>
      <c r="C168" s="17">
        <v>23</v>
      </c>
      <c r="D168" s="17" t="s">
        <v>100</v>
      </c>
      <c r="E168" s="17" t="s">
        <v>629</v>
      </c>
      <c r="F168" s="17" t="s">
        <v>632</v>
      </c>
      <c r="G168" s="17">
        <v>108</v>
      </c>
      <c r="H168" s="17">
        <v>108</v>
      </c>
      <c r="I168" s="17">
        <v>2244.1999999999998</v>
      </c>
      <c r="J168" s="17">
        <v>2269.6999999999998</v>
      </c>
      <c r="K168" s="17" t="s">
        <v>633</v>
      </c>
      <c r="L168" s="17" t="str">
        <f>INDEX(Vendors!$B$2:$B$13,MATCH(C168,Vendors!$A$2:$A$13,0))</f>
        <v>PrecisionPack Supply Co.</v>
      </c>
      <c r="M168" s="18">
        <f t="shared" si="20"/>
        <v>1</v>
      </c>
      <c r="N168" s="18">
        <f t="shared" si="21"/>
        <v>1</v>
      </c>
      <c r="O168" s="19">
        <f t="shared" si="22"/>
        <v>1.1362623652080921E-2</v>
      </c>
      <c r="P168" s="18">
        <f t="shared" si="23"/>
        <v>12</v>
      </c>
    </row>
    <row r="169" spans="1:16" x14ac:dyDescent="0.25">
      <c r="A169" s="17">
        <v>363</v>
      </c>
      <c r="B169" s="17" t="s">
        <v>634</v>
      </c>
      <c r="C169" s="17">
        <v>15</v>
      </c>
      <c r="D169" s="17" t="s">
        <v>132</v>
      </c>
      <c r="E169" s="17" t="s">
        <v>635</v>
      </c>
      <c r="F169" s="17" t="s">
        <v>635</v>
      </c>
      <c r="G169" s="17">
        <v>178</v>
      </c>
      <c r="H169" s="17">
        <v>178</v>
      </c>
      <c r="I169" s="17">
        <v>4240</v>
      </c>
      <c r="J169" s="17">
        <v>4197.6000000000004</v>
      </c>
      <c r="K169" s="17" t="s">
        <v>636</v>
      </c>
      <c r="L169" s="17" t="str">
        <f>INDEX(Vendors!$B$2:$B$13,MATCH(C169,Vendors!$A$2:$A$13,0))</f>
        <v>Heritage Farms Dairy</v>
      </c>
      <c r="M169" s="18">
        <f t="shared" si="20"/>
        <v>1</v>
      </c>
      <c r="N169" s="18">
        <f t="shared" si="21"/>
        <v>1</v>
      </c>
      <c r="O169" s="19">
        <f t="shared" si="22"/>
        <v>-9.9999999999999135E-3</v>
      </c>
      <c r="P169" s="18">
        <f t="shared" si="23"/>
        <v>12</v>
      </c>
    </row>
    <row r="170" spans="1:16" x14ac:dyDescent="0.25">
      <c r="A170" s="17">
        <v>364</v>
      </c>
      <c r="B170" s="17" t="s">
        <v>637</v>
      </c>
      <c r="C170" s="17">
        <v>14</v>
      </c>
      <c r="D170" s="17" t="s">
        <v>136</v>
      </c>
      <c r="E170" s="17" t="s">
        <v>629</v>
      </c>
      <c r="F170" s="17" t="s">
        <v>625</v>
      </c>
      <c r="G170" s="17">
        <v>125</v>
      </c>
      <c r="H170" s="17">
        <v>125</v>
      </c>
      <c r="I170" s="17">
        <v>530</v>
      </c>
      <c r="J170" s="17">
        <v>478.5</v>
      </c>
      <c r="K170" s="17" t="s">
        <v>638</v>
      </c>
      <c r="L170" s="17" t="str">
        <f>INDEX(Vendors!$B$2:$B$13,MATCH(C170,Vendors!$A$2:$A$13,0))</f>
        <v>Cascade Creamery Supply</v>
      </c>
      <c r="M170" s="18">
        <f t="shared" si="20"/>
        <v>0</v>
      </c>
      <c r="N170" s="18">
        <f t="shared" si="21"/>
        <v>1</v>
      </c>
      <c r="O170" s="19">
        <f t="shared" si="22"/>
        <v>-9.7169811320754723E-2</v>
      </c>
      <c r="P170" s="18">
        <f t="shared" si="23"/>
        <v>12</v>
      </c>
    </row>
    <row r="171" spans="1:16" x14ac:dyDescent="0.25">
      <c r="A171" s="17">
        <v>365</v>
      </c>
      <c r="B171" s="17" t="s">
        <v>639</v>
      </c>
      <c r="C171" s="17">
        <v>15</v>
      </c>
      <c r="D171" s="17" t="s">
        <v>139</v>
      </c>
      <c r="E171" s="17" t="s">
        <v>629</v>
      </c>
      <c r="F171" s="17" t="s">
        <v>626</v>
      </c>
      <c r="G171" s="17">
        <v>181</v>
      </c>
      <c r="H171" s="17">
        <v>181</v>
      </c>
      <c r="I171" s="17">
        <v>2523.1</v>
      </c>
      <c r="J171" s="17">
        <v>2502.6</v>
      </c>
      <c r="K171" s="17" t="s">
        <v>640</v>
      </c>
      <c r="L171" s="17" t="str">
        <f>INDEX(Vendors!$B$2:$B$13,MATCH(C171,Vendors!$A$2:$A$13,0))</f>
        <v>Heritage Farms Dairy</v>
      </c>
      <c r="M171" s="18">
        <f t="shared" si="20"/>
        <v>0</v>
      </c>
      <c r="N171" s="18">
        <f t="shared" si="21"/>
        <v>1</v>
      </c>
      <c r="O171" s="19">
        <f t="shared" si="22"/>
        <v>-8.1249256866553054E-3</v>
      </c>
      <c r="P171" s="18">
        <f t="shared" si="23"/>
        <v>12</v>
      </c>
    </row>
    <row r="172" spans="1:16" x14ac:dyDescent="0.25">
      <c r="A172" s="17">
        <v>366</v>
      </c>
      <c r="B172" s="17" t="s">
        <v>641</v>
      </c>
      <c r="C172" s="17">
        <v>20</v>
      </c>
      <c r="D172" s="17" t="s">
        <v>145</v>
      </c>
      <c r="E172" s="17" t="s">
        <v>635</v>
      </c>
      <c r="F172" s="17" t="s">
        <v>593</v>
      </c>
      <c r="G172" s="17">
        <v>181</v>
      </c>
      <c r="H172" s="17">
        <v>181</v>
      </c>
      <c r="I172" s="17">
        <v>2552.1</v>
      </c>
      <c r="J172" s="17">
        <v>2525</v>
      </c>
      <c r="K172" s="17" t="s">
        <v>642</v>
      </c>
      <c r="L172" s="17" t="str">
        <f>INDEX(Vendors!$B$2:$B$13,MATCH(C172,Vendors!$A$2:$A$13,0))</f>
        <v>Ridgeway Cold Storage Logistics</v>
      </c>
      <c r="M172" s="18">
        <f t="shared" si="20"/>
        <v>1</v>
      </c>
      <c r="N172" s="18">
        <f t="shared" si="21"/>
        <v>1</v>
      </c>
      <c r="O172" s="19">
        <f t="shared" si="22"/>
        <v>-1.0618706163551549E-2</v>
      </c>
      <c r="P172" s="18">
        <f t="shared" si="23"/>
        <v>12</v>
      </c>
    </row>
    <row r="173" spans="1:16" x14ac:dyDescent="0.25">
      <c r="A173" s="17">
        <v>367</v>
      </c>
      <c r="B173" s="17" t="s">
        <v>643</v>
      </c>
      <c r="C173" s="17">
        <v>15</v>
      </c>
      <c r="D173" s="17" t="s">
        <v>130</v>
      </c>
      <c r="E173" s="17" t="s">
        <v>632</v>
      </c>
      <c r="F173" s="17" t="s">
        <v>635</v>
      </c>
      <c r="G173" s="17">
        <v>129</v>
      </c>
      <c r="H173" s="17">
        <v>129</v>
      </c>
      <c r="I173" s="17">
        <v>2278.1</v>
      </c>
      <c r="J173" s="17">
        <v>2247.5</v>
      </c>
      <c r="K173" s="17" t="s">
        <v>644</v>
      </c>
      <c r="L173" s="17" t="str">
        <f>INDEX(Vendors!$B$2:$B$13,MATCH(C173,Vendors!$A$2:$A$13,0))</f>
        <v>Heritage Farms Dairy</v>
      </c>
      <c r="M173" s="18">
        <f t="shared" si="20"/>
        <v>1</v>
      </c>
      <c r="N173" s="18">
        <f t="shared" si="21"/>
        <v>1</v>
      </c>
      <c r="O173" s="19">
        <f t="shared" si="22"/>
        <v>-1.3432246170053954E-2</v>
      </c>
      <c r="P173" s="18">
        <f t="shared" si="23"/>
        <v>12</v>
      </c>
    </row>
    <row r="174" spans="1:16" x14ac:dyDescent="0.25">
      <c r="A174" s="17">
        <v>368</v>
      </c>
      <c r="B174" s="17" t="s">
        <v>645</v>
      </c>
      <c r="C174" s="17">
        <v>22</v>
      </c>
      <c r="D174" s="17" t="s">
        <v>156</v>
      </c>
      <c r="E174" s="17" t="s">
        <v>625</v>
      </c>
      <c r="F174" s="17" t="s">
        <v>626</v>
      </c>
      <c r="G174" s="17">
        <v>129</v>
      </c>
      <c r="H174" s="17">
        <v>129</v>
      </c>
      <c r="I174" s="17">
        <v>1637</v>
      </c>
      <c r="J174" s="17">
        <v>1634.8</v>
      </c>
      <c r="K174" s="17" t="s">
        <v>646</v>
      </c>
      <c r="L174" s="17" t="str">
        <f>INDEX(Vendors!$B$2:$B$13,MATCH(C174,Vendors!$A$2:$A$13,0))</f>
        <v>Sunrise Dairy Cooperative</v>
      </c>
      <c r="M174" s="18">
        <f t="shared" si="20"/>
        <v>1</v>
      </c>
      <c r="N174" s="18">
        <f t="shared" si="21"/>
        <v>1</v>
      </c>
      <c r="O174" s="19">
        <f t="shared" si="22"/>
        <v>-1.3439218081857333E-3</v>
      </c>
      <c r="P174" s="18">
        <f t="shared" si="23"/>
        <v>12</v>
      </c>
    </row>
    <row r="175" spans="1:16" x14ac:dyDescent="0.25">
      <c r="A175" s="17">
        <v>369</v>
      </c>
      <c r="B175" s="17" t="s">
        <v>647</v>
      </c>
      <c r="C175" s="17">
        <v>19</v>
      </c>
      <c r="D175" s="17" t="s">
        <v>125</v>
      </c>
      <c r="E175" s="17" t="s">
        <v>629</v>
      </c>
      <c r="F175" s="17" t="s">
        <v>632</v>
      </c>
      <c r="G175" s="17">
        <v>172</v>
      </c>
      <c r="H175" s="17">
        <v>172</v>
      </c>
      <c r="I175" s="17">
        <v>172</v>
      </c>
      <c r="J175" s="17">
        <v>173.6</v>
      </c>
      <c r="K175" s="17" t="s">
        <v>648</v>
      </c>
      <c r="L175" s="17" t="str">
        <f>INDEX(Vendors!$B$2:$B$13,MATCH(C175,Vendors!$A$2:$A$13,0))</f>
        <v>Northfield Dairy Ingredients</v>
      </c>
      <c r="M175" s="18">
        <f t="shared" si="20"/>
        <v>1</v>
      </c>
      <c r="N175" s="18">
        <f t="shared" si="21"/>
        <v>1</v>
      </c>
      <c r="O175" s="19">
        <f t="shared" si="22"/>
        <v>9.3023255813953157E-3</v>
      </c>
      <c r="P175" s="18">
        <f t="shared" si="23"/>
        <v>12</v>
      </c>
    </row>
    <row r="176" spans="1:16" x14ac:dyDescent="0.25">
      <c r="A176" s="17">
        <v>370</v>
      </c>
      <c r="B176" s="17" t="s">
        <v>649</v>
      </c>
      <c r="C176" s="17">
        <v>18</v>
      </c>
      <c r="D176" s="17" t="s">
        <v>152</v>
      </c>
      <c r="E176" s="17" t="s">
        <v>601</v>
      </c>
      <c r="F176" s="17" t="s">
        <v>573</v>
      </c>
      <c r="G176" s="17">
        <v>46</v>
      </c>
      <c r="H176" s="17">
        <v>46</v>
      </c>
      <c r="I176" s="17">
        <v>832.6</v>
      </c>
      <c r="J176" s="17">
        <v>827.2</v>
      </c>
      <c r="K176" s="17" t="s">
        <v>650</v>
      </c>
      <c r="L176" s="17" t="str">
        <f>INDEX(Vendors!$B$2:$B$13,MATCH(C176,Vendors!$A$2:$A$13,0))</f>
        <v>Crestline Packaging Supply</v>
      </c>
      <c r="M176" s="18">
        <f t="shared" si="20"/>
        <v>1</v>
      </c>
      <c r="N176" s="18">
        <f t="shared" si="21"/>
        <v>1</v>
      </c>
      <c r="O176" s="19">
        <f t="shared" si="22"/>
        <v>-6.4857074225318006E-3</v>
      </c>
      <c r="P176" s="18">
        <f t="shared" si="23"/>
        <v>11</v>
      </c>
    </row>
    <row r="177" spans="1:16" x14ac:dyDescent="0.25">
      <c r="A177" s="17">
        <v>371</v>
      </c>
      <c r="B177" s="17" t="s">
        <v>651</v>
      </c>
      <c r="C177" s="17">
        <v>23</v>
      </c>
      <c r="D177" s="17" t="s">
        <v>120</v>
      </c>
      <c r="E177" s="17" t="s">
        <v>629</v>
      </c>
      <c r="F177" s="17" t="s">
        <v>629</v>
      </c>
      <c r="G177" s="17">
        <v>82</v>
      </c>
      <c r="H177" s="17">
        <v>82</v>
      </c>
      <c r="I177" s="17">
        <v>889.7</v>
      </c>
      <c r="J177" s="17">
        <v>901.3</v>
      </c>
      <c r="K177" s="17" t="s">
        <v>652</v>
      </c>
      <c r="L177" s="17" t="str">
        <f>INDEX(Vendors!$B$2:$B$13,MATCH(C177,Vendors!$A$2:$A$13,0))</f>
        <v>PrecisionPack Supply Co.</v>
      </c>
      <c r="M177" s="18">
        <f t="shared" si="20"/>
        <v>1</v>
      </c>
      <c r="N177" s="18">
        <f t="shared" si="21"/>
        <v>1</v>
      </c>
      <c r="O177" s="19">
        <f t="shared" si="22"/>
        <v>1.3038102731257625E-2</v>
      </c>
      <c r="P177" s="18">
        <f t="shared" si="23"/>
        <v>12</v>
      </c>
    </row>
    <row r="178" spans="1:16" x14ac:dyDescent="0.25">
      <c r="A178" s="17">
        <v>372</v>
      </c>
      <c r="B178" s="17" t="s">
        <v>653</v>
      </c>
      <c r="C178" s="17">
        <v>17</v>
      </c>
      <c r="D178" s="17" t="s">
        <v>120</v>
      </c>
      <c r="E178" s="17" t="s">
        <v>626</v>
      </c>
      <c r="F178" s="17" t="s">
        <v>629</v>
      </c>
      <c r="G178" s="17">
        <v>139</v>
      </c>
      <c r="H178" s="17">
        <v>139</v>
      </c>
      <c r="I178" s="17">
        <v>763.1</v>
      </c>
      <c r="J178" s="17">
        <v>751.4</v>
      </c>
      <c r="K178" s="17" t="s">
        <v>654</v>
      </c>
      <c r="L178" s="17" t="str">
        <f>INDEX(Vendors!$B$2:$B$13,MATCH(C178,Vendors!$A$2:$A$13,0))</f>
        <v>Golden Valley Creamery</v>
      </c>
      <c r="M178" s="18">
        <f t="shared" si="20"/>
        <v>1</v>
      </c>
      <c r="N178" s="18">
        <f t="shared" si="21"/>
        <v>1</v>
      </c>
      <c r="O178" s="19">
        <f t="shared" si="22"/>
        <v>-1.5332197614991541E-2</v>
      </c>
      <c r="P178" s="18">
        <f t="shared" si="23"/>
        <v>12</v>
      </c>
    </row>
    <row r="179" spans="1:16" x14ac:dyDescent="0.25">
      <c r="A179" s="17">
        <v>373</v>
      </c>
      <c r="B179" s="17" t="s">
        <v>655</v>
      </c>
      <c r="C179" s="17">
        <v>16</v>
      </c>
      <c r="D179" s="17" t="s">
        <v>118</v>
      </c>
      <c r="E179" s="17" t="s">
        <v>656</v>
      </c>
      <c r="F179" s="17" t="s">
        <v>656</v>
      </c>
      <c r="G179" s="17">
        <v>20</v>
      </c>
      <c r="H179" s="17">
        <v>20</v>
      </c>
      <c r="I179" s="17">
        <v>281.60000000000002</v>
      </c>
      <c r="J179" s="17">
        <v>282.39999999999998</v>
      </c>
      <c r="K179" s="17" t="s">
        <v>657</v>
      </c>
      <c r="L179" s="17" t="str">
        <f>INDEX(Vendors!$B$2:$B$13,MATCH(C179,Vendors!$A$2:$A$13,0))</f>
        <v>Bluegrass Milk Producers</v>
      </c>
      <c r="M179" s="18">
        <f t="shared" si="20"/>
        <v>1</v>
      </c>
      <c r="N179" s="18">
        <f t="shared" si="21"/>
        <v>1</v>
      </c>
      <c r="O179" s="19">
        <f t="shared" si="22"/>
        <v>2.8409090909089292E-3</v>
      </c>
      <c r="P179" s="18">
        <f t="shared" si="23"/>
        <v>13</v>
      </c>
    </row>
    <row r="180" spans="1:16" x14ac:dyDescent="0.25">
      <c r="A180" s="17">
        <v>374</v>
      </c>
      <c r="B180" s="17" t="s">
        <v>658</v>
      </c>
      <c r="C180" s="17">
        <v>19</v>
      </c>
      <c r="D180" s="17" t="s">
        <v>116</v>
      </c>
      <c r="E180" s="17" t="s">
        <v>629</v>
      </c>
      <c r="F180" s="17" t="s">
        <v>629</v>
      </c>
      <c r="G180" s="17">
        <v>131</v>
      </c>
      <c r="H180" s="17">
        <v>131</v>
      </c>
      <c r="I180" s="17">
        <v>2177.1999999999998</v>
      </c>
      <c r="J180" s="17">
        <v>2212.9</v>
      </c>
      <c r="K180" s="17" t="s">
        <v>659</v>
      </c>
      <c r="L180" s="17" t="str">
        <f>INDEX(Vendors!$B$2:$B$13,MATCH(C180,Vendors!$A$2:$A$13,0))</f>
        <v>Northfield Dairy Ingredients</v>
      </c>
      <c r="M180" s="18">
        <f t="shared" si="20"/>
        <v>1</v>
      </c>
      <c r="N180" s="18">
        <f t="shared" si="21"/>
        <v>1</v>
      </c>
      <c r="O180" s="19">
        <f t="shared" si="22"/>
        <v>1.6397207422377491E-2</v>
      </c>
      <c r="P180" s="18">
        <f t="shared" si="23"/>
        <v>12</v>
      </c>
    </row>
    <row r="181" spans="1:16" x14ac:dyDescent="0.25">
      <c r="A181" s="17">
        <v>375</v>
      </c>
      <c r="B181" s="17" t="s">
        <v>660</v>
      </c>
      <c r="C181" s="17">
        <v>19</v>
      </c>
      <c r="D181" s="17" t="s">
        <v>139</v>
      </c>
      <c r="E181" s="17" t="s">
        <v>661</v>
      </c>
      <c r="F181" s="17" t="s">
        <v>661</v>
      </c>
      <c r="G181" s="17">
        <v>64</v>
      </c>
      <c r="H181" s="17">
        <v>64</v>
      </c>
      <c r="I181" s="17">
        <v>1025.3</v>
      </c>
      <c r="J181" s="17">
        <v>1011.9</v>
      </c>
      <c r="K181" s="17" t="s">
        <v>662</v>
      </c>
      <c r="L181" s="17" t="str">
        <f>INDEX(Vendors!$B$2:$B$13,MATCH(C181,Vendors!$A$2:$A$13,0))</f>
        <v>Northfield Dairy Ingredients</v>
      </c>
      <c r="M181" s="18">
        <f t="shared" si="20"/>
        <v>1</v>
      </c>
      <c r="N181" s="18">
        <f t="shared" si="21"/>
        <v>1</v>
      </c>
      <c r="O181" s="19">
        <f t="shared" si="22"/>
        <v>-1.3069345557397813E-2</v>
      </c>
      <c r="P181" s="18">
        <f t="shared" si="23"/>
        <v>13</v>
      </c>
    </row>
    <row r="182" spans="1:16" x14ac:dyDescent="0.25">
      <c r="A182" s="17">
        <v>376</v>
      </c>
      <c r="B182" s="17" t="s">
        <v>663</v>
      </c>
      <c r="C182" s="17">
        <v>23</v>
      </c>
      <c r="D182" s="17" t="s">
        <v>107</v>
      </c>
      <c r="E182" s="17" t="s">
        <v>664</v>
      </c>
      <c r="F182" s="17" t="s">
        <v>664</v>
      </c>
      <c r="G182" s="17">
        <v>177</v>
      </c>
      <c r="H182" s="17">
        <v>177</v>
      </c>
      <c r="I182" s="17">
        <v>3869.2</v>
      </c>
      <c r="J182" s="17">
        <v>3839.7</v>
      </c>
      <c r="K182" s="17" t="s">
        <v>665</v>
      </c>
      <c r="L182" s="17" t="str">
        <f>INDEX(Vendors!$B$2:$B$13,MATCH(C182,Vendors!$A$2:$A$13,0))</f>
        <v>PrecisionPack Supply Co.</v>
      </c>
      <c r="M182" s="18">
        <f t="shared" si="20"/>
        <v>1</v>
      </c>
      <c r="N182" s="18">
        <f t="shared" si="21"/>
        <v>1</v>
      </c>
      <c r="O182" s="19">
        <f t="shared" si="22"/>
        <v>-7.6243151038974466E-3</v>
      </c>
      <c r="P182" s="18">
        <f t="shared" si="23"/>
        <v>13</v>
      </c>
    </row>
    <row r="183" spans="1:16" x14ac:dyDescent="0.25">
      <c r="A183" s="17">
        <v>377</v>
      </c>
      <c r="B183" s="17" t="s">
        <v>666</v>
      </c>
      <c r="C183" s="17">
        <v>24</v>
      </c>
      <c r="D183" s="17" t="s">
        <v>113</v>
      </c>
      <c r="E183" s="17" t="s">
        <v>625</v>
      </c>
      <c r="F183" s="17" t="s">
        <v>625</v>
      </c>
      <c r="G183" s="17">
        <v>91</v>
      </c>
      <c r="H183" s="17">
        <v>91</v>
      </c>
      <c r="I183" s="17">
        <v>1308.5999999999999</v>
      </c>
      <c r="J183" s="17">
        <v>1330.3</v>
      </c>
      <c r="K183" s="17" t="s">
        <v>667</v>
      </c>
      <c r="L183" s="17" t="str">
        <f>INDEX(Vendors!$B$2:$B$13,MATCH(C183,Vendors!$A$2:$A$13,0))</f>
        <v>Budget Dairy Wholesale</v>
      </c>
      <c r="M183" s="18">
        <f t="shared" si="20"/>
        <v>1</v>
      </c>
      <c r="N183" s="18">
        <f t="shared" si="21"/>
        <v>1</v>
      </c>
      <c r="O183" s="19">
        <f t="shared" si="22"/>
        <v>1.658260736665142E-2</v>
      </c>
      <c r="P183" s="18">
        <f t="shared" si="23"/>
        <v>12</v>
      </c>
    </row>
    <row r="184" spans="1:16" x14ac:dyDescent="0.25">
      <c r="A184" s="17">
        <v>378</v>
      </c>
      <c r="B184" s="17" t="s">
        <v>668</v>
      </c>
      <c r="C184" s="17">
        <v>20</v>
      </c>
      <c r="D184" s="17" t="s">
        <v>136</v>
      </c>
      <c r="E184" s="17" t="s">
        <v>661</v>
      </c>
      <c r="F184" s="17" t="s">
        <v>661</v>
      </c>
      <c r="G184" s="17">
        <v>117</v>
      </c>
      <c r="H184" s="17">
        <v>117</v>
      </c>
      <c r="I184" s="17">
        <v>2692.2</v>
      </c>
      <c r="J184" s="17">
        <v>2639.9</v>
      </c>
      <c r="K184" s="17" t="s">
        <v>669</v>
      </c>
      <c r="L184" s="17" t="str">
        <f>INDEX(Vendors!$B$2:$B$13,MATCH(C184,Vendors!$A$2:$A$13,0))</f>
        <v>Ridgeway Cold Storage Logistics</v>
      </c>
      <c r="M184" s="18">
        <f t="shared" si="20"/>
        <v>1</v>
      </c>
      <c r="N184" s="18">
        <f t="shared" si="21"/>
        <v>1</v>
      </c>
      <c r="O184" s="19">
        <f t="shared" si="22"/>
        <v>-1.9426491345367999E-2</v>
      </c>
      <c r="P184" s="18">
        <f t="shared" si="23"/>
        <v>13</v>
      </c>
    </row>
    <row r="185" spans="1:16" x14ac:dyDescent="0.25">
      <c r="A185" s="17">
        <v>379</v>
      </c>
      <c r="B185" s="17" t="s">
        <v>670</v>
      </c>
      <c r="C185" s="17">
        <v>19</v>
      </c>
      <c r="D185" s="17" t="s">
        <v>139</v>
      </c>
      <c r="E185" s="17" t="s">
        <v>671</v>
      </c>
      <c r="F185" s="17" t="s">
        <v>672</v>
      </c>
      <c r="G185" s="17">
        <v>49</v>
      </c>
      <c r="H185" s="17">
        <v>49</v>
      </c>
      <c r="I185" s="17">
        <v>519.4</v>
      </c>
      <c r="J185" s="17">
        <v>522.4</v>
      </c>
      <c r="K185" s="17" t="s">
        <v>673</v>
      </c>
      <c r="L185" s="17" t="str">
        <f>INDEX(Vendors!$B$2:$B$13,MATCH(C185,Vendors!$A$2:$A$13,0))</f>
        <v>Northfield Dairy Ingredients</v>
      </c>
      <c r="M185" s="18">
        <f t="shared" si="20"/>
        <v>0</v>
      </c>
      <c r="N185" s="18">
        <f t="shared" si="21"/>
        <v>1</v>
      </c>
      <c r="O185" s="19">
        <f t="shared" si="22"/>
        <v>5.7758952637658838E-3</v>
      </c>
      <c r="P185" s="18">
        <f t="shared" si="23"/>
        <v>14</v>
      </c>
    </row>
    <row r="186" spans="1:16" x14ac:dyDescent="0.25">
      <c r="A186" s="17">
        <v>380</v>
      </c>
      <c r="B186" s="17" t="s">
        <v>674</v>
      </c>
      <c r="C186" s="17">
        <v>16</v>
      </c>
      <c r="D186" s="17" t="s">
        <v>159</v>
      </c>
      <c r="E186" s="17" t="s">
        <v>675</v>
      </c>
      <c r="F186" s="17" t="s">
        <v>661</v>
      </c>
      <c r="G186" s="17">
        <v>11</v>
      </c>
      <c r="H186" s="17">
        <v>11</v>
      </c>
      <c r="I186" s="17">
        <v>185.9</v>
      </c>
      <c r="J186" s="17">
        <v>169.5</v>
      </c>
      <c r="K186" s="17" t="s">
        <v>676</v>
      </c>
      <c r="L186" s="17" t="str">
        <f>INDEX(Vendors!$B$2:$B$13,MATCH(C186,Vendors!$A$2:$A$13,0))</f>
        <v>Bluegrass Milk Producers</v>
      </c>
      <c r="M186" s="18">
        <f t="shared" si="20"/>
        <v>1</v>
      </c>
      <c r="N186" s="18">
        <f t="shared" si="21"/>
        <v>1</v>
      </c>
      <c r="O186" s="19">
        <f t="shared" si="22"/>
        <v>-8.8219472834857482E-2</v>
      </c>
      <c r="P186" s="18">
        <f t="shared" si="23"/>
        <v>13</v>
      </c>
    </row>
    <row r="187" spans="1:16" x14ac:dyDescent="0.25">
      <c r="A187" s="17">
        <v>381</v>
      </c>
      <c r="B187" s="17" t="s">
        <v>677</v>
      </c>
      <c r="C187" s="17">
        <v>16</v>
      </c>
      <c r="D187" s="17" t="s">
        <v>156</v>
      </c>
      <c r="E187" s="17" t="s">
        <v>661</v>
      </c>
      <c r="F187" s="17" t="s">
        <v>661</v>
      </c>
      <c r="G187" s="17">
        <v>80</v>
      </c>
      <c r="H187" s="17">
        <v>80</v>
      </c>
      <c r="I187" s="17">
        <v>515.20000000000005</v>
      </c>
      <c r="J187" s="17">
        <v>508.8</v>
      </c>
      <c r="K187" s="17" t="s">
        <v>678</v>
      </c>
      <c r="L187" s="17" t="str">
        <f>INDEX(Vendors!$B$2:$B$13,MATCH(C187,Vendors!$A$2:$A$13,0))</f>
        <v>Bluegrass Milk Producers</v>
      </c>
      <c r="M187" s="18">
        <f t="shared" si="20"/>
        <v>1</v>
      </c>
      <c r="N187" s="18">
        <f t="shared" si="21"/>
        <v>1</v>
      </c>
      <c r="O187" s="19">
        <f t="shared" si="22"/>
        <v>-1.242236024844727E-2</v>
      </c>
      <c r="P187" s="18">
        <f t="shared" si="23"/>
        <v>13</v>
      </c>
    </row>
    <row r="188" spans="1:16" x14ac:dyDescent="0.25">
      <c r="A188" s="17">
        <v>382</v>
      </c>
      <c r="B188" s="17" t="s">
        <v>679</v>
      </c>
      <c r="C188" s="17">
        <v>13</v>
      </c>
      <c r="D188" s="17" t="s">
        <v>120</v>
      </c>
      <c r="E188" s="17" t="s">
        <v>671</v>
      </c>
      <c r="F188" s="17" t="s">
        <v>671</v>
      </c>
      <c r="G188" s="17">
        <v>85</v>
      </c>
      <c r="H188" s="17">
        <v>85</v>
      </c>
      <c r="I188" s="17">
        <v>1519.8</v>
      </c>
      <c r="J188" s="17">
        <v>1546.1</v>
      </c>
      <c r="K188" s="17" t="s">
        <v>680</v>
      </c>
      <c r="L188" s="17" t="str">
        <f>INDEX(Vendors!$B$2:$B$13,MATCH(C188,Vendors!$A$2:$A$13,0))</f>
        <v>Meadowbrook Dairy Co-op</v>
      </c>
      <c r="M188" s="18">
        <f t="shared" si="20"/>
        <v>1</v>
      </c>
      <c r="N188" s="18">
        <f t="shared" si="21"/>
        <v>1</v>
      </c>
      <c r="O188" s="19">
        <f t="shared" si="22"/>
        <v>1.7304908540597418E-2</v>
      </c>
      <c r="P188" s="18">
        <f t="shared" si="23"/>
        <v>14</v>
      </c>
    </row>
    <row r="189" spans="1:16" x14ac:dyDescent="0.25">
      <c r="A189" s="17">
        <v>383</v>
      </c>
      <c r="B189" s="17" t="s">
        <v>681</v>
      </c>
      <c r="C189" s="17">
        <v>17</v>
      </c>
      <c r="D189" s="17" t="s">
        <v>161</v>
      </c>
      <c r="E189" s="17" t="s">
        <v>664</v>
      </c>
      <c r="F189" s="17" t="s">
        <v>664</v>
      </c>
      <c r="G189" s="17">
        <v>25</v>
      </c>
      <c r="H189" s="17">
        <v>25</v>
      </c>
      <c r="I189" s="17">
        <v>411</v>
      </c>
      <c r="J189" s="17">
        <v>404.1</v>
      </c>
      <c r="K189" s="17" t="s">
        <v>682</v>
      </c>
      <c r="L189" s="17" t="str">
        <f>INDEX(Vendors!$B$2:$B$13,MATCH(C189,Vendors!$A$2:$A$13,0))</f>
        <v>Golden Valley Creamery</v>
      </c>
      <c r="M189" s="18">
        <f t="shared" si="20"/>
        <v>1</v>
      </c>
      <c r="N189" s="18">
        <f t="shared" si="21"/>
        <v>1</v>
      </c>
      <c r="O189" s="19">
        <f t="shared" si="22"/>
        <v>-1.6788321167883157E-2</v>
      </c>
      <c r="P189" s="18">
        <f t="shared" si="23"/>
        <v>13</v>
      </c>
    </row>
    <row r="190" spans="1:16" x14ac:dyDescent="0.25">
      <c r="A190" s="17">
        <v>384</v>
      </c>
      <c r="B190" s="17" t="s">
        <v>683</v>
      </c>
      <c r="C190" s="17">
        <v>17</v>
      </c>
      <c r="D190" s="17" t="s">
        <v>116</v>
      </c>
      <c r="E190" s="17" t="s">
        <v>675</v>
      </c>
      <c r="F190" s="17" t="s">
        <v>661</v>
      </c>
      <c r="G190" s="17">
        <v>165</v>
      </c>
      <c r="H190" s="17">
        <v>165</v>
      </c>
      <c r="I190" s="17">
        <v>1569.1</v>
      </c>
      <c r="J190" s="17">
        <v>1565.3</v>
      </c>
      <c r="K190" s="17" t="s">
        <v>684</v>
      </c>
      <c r="L190" s="17" t="str">
        <f>INDEX(Vendors!$B$2:$B$13,MATCH(C190,Vendors!$A$2:$A$13,0))</f>
        <v>Golden Valley Creamery</v>
      </c>
      <c r="M190" s="18">
        <f t="shared" si="20"/>
        <v>1</v>
      </c>
      <c r="N190" s="18">
        <f t="shared" si="21"/>
        <v>1</v>
      </c>
      <c r="O190" s="19">
        <f t="shared" si="22"/>
        <v>-2.4217704416544228E-3</v>
      </c>
      <c r="P190" s="18">
        <f t="shared" si="23"/>
        <v>13</v>
      </c>
    </row>
    <row r="191" spans="1:16" x14ac:dyDescent="0.25">
      <c r="A191" s="17">
        <v>385</v>
      </c>
      <c r="B191" s="17" t="s">
        <v>685</v>
      </c>
      <c r="C191" s="17">
        <v>23</v>
      </c>
      <c r="D191" s="17" t="s">
        <v>107</v>
      </c>
      <c r="E191" s="17" t="s">
        <v>686</v>
      </c>
      <c r="F191" s="17" t="s">
        <v>687</v>
      </c>
      <c r="G191" s="17">
        <v>102</v>
      </c>
      <c r="H191" s="17">
        <v>99</v>
      </c>
      <c r="I191" s="17">
        <v>1624.9</v>
      </c>
      <c r="J191" s="17">
        <v>1617.5</v>
      </c>
      <c r="K191" s="17" t="s">
        <v>688</v>
      </c>
      <c r="L191" s="17" t="str">
        <f>INDEX(Vendors!$B$2:$B$13,MATCH(C191,Vendors!$A$2:$A$13,0))</f>
        <v>PrecisionPack Supply Co.</v>
      </c>
      <c r="M191" s="18">
        <f t="shared" si="20"/>
        <v>0</v>
      </c>
      <c r="N191" s="18">
        <f t="shared" si="21"/>
        <v>0</v>
      </c>
      <c r="O191" s="19">
        <f t="shared" si="22"/>
        <v>-4.5541264077789958E-3</v>
      </c>
      <c r="P191" s="18">
        <f t="shared" si="23"/>
        <v>13</v>
      </c>
    </row>
    <row r="192" spans="1:16" x14ac:dyDescent="0.25">
      <c r="A192" s="17">
        <v>386</v>
      </c>
      <c r="B192" s="17" t="s">
        <v>689</v>
      </c>
      <c r="C192" s="17">
        <v>20</v>
      </c>
      <c r="D192" s="17" t="s">
        <v>113</v>
      </c>
      <c r="E192" s="17" t="s">
        <v>661</v>
      </c>
      <c r="F192" s="17" t="s">
        <v>687</v>
      </c>
      <c r="G192" s="17">
        <v>25</v>
      </c>
      <c r="H192" s="17">
        <v>25</v>
      </c>
      <c r="I192" s="17">
        <v>411.2</v>
      </c>
      <c r="J192" s="17">
        <v>412.8</v>
      </c>
      <c r="K192" s="17" t="s">
        <v>690</v>
      </c>
      <c r="L192" s="17" t="str">
        <f>INDEX(Vendors!$B$2:$B$13,MATCH(C192,Vendors!$A$2:$A$13,0))</f>
        <v>Ridgeway Cold Storage Logistics</v>
      </c>
      <c r="M192" s="18">
        <f t="shared" si="20"/>
        <v>1</v>
      </c>
      <c r="N192" s="18">
        <f t="shared" si="21"/>
        <v>1</v>
      </c>
      <c r="O192" s="19">
        <f t="shared" si="22"/>
        <v>3.8910505836576431E-3</v>
      </c>
      <c r="P192" s="18">
        <f t="shared" si="23"/>
        <v>13</v>
      </c>
    </row>
    <row r="193" spans="1:16" x14ac:dyDescent="0.25">
      <c r="A193" s="17">
        <v>387</v>
      </c>
      <c r="B193" s="17" t="s">
        <v>691</v>
      </c>
      <c r="C193" s="17">
        <v>22</v>
      </c>
      <c r="D193" s="17" t="s">
        <v>147</v>
      </c>
      <c r="E193" s="17" t="s">
        <v>675</v>
      </c>
      <c r="F193" s="17" t="s">
        <v>661</v>
      </c>
      <c r="G193" s="17">
        <v>159</v>
      </c>
      <c r="H193" s="17">
        <v>159</v>
      </c>
      <c r="I193" s="17">
        <v>3539.3</v>
      </c>
      <c r="J193" s="17">
        <v>3565.5</v>
      </c>
      <c r="K193" s="17" t="s">
        <v>692</v>
      </c>
      <c r="L193" s="17" t="str">
        <f>INDEX(Vendors!$B$2:$B$13,MATCH(C193,Vendors!$A$2:$A$13,0))</f>
        <v>Sunrise Dairy Cooperative</v>
      </c>
      <c r="M193" s="18">
        <f t="shared" si="20"/>
        <v>1</v>
      </c>
      <c r="N193" s="18">
        <f t="shared" si="21"/>
        <v>1</v>
      </c>
      <c r="O193" s="19">
        <f t="shared" si="22"/>
        <v>7.4025937332240317E-3</v>
      </c>
      <c r="P193" s="18">
        <f t="shared" si="23"/>
        <v>13</v>
      </c>
    </row>
    <row r="194" spans="1:16" x14ac:dyDescent="0.25">
      <c r="A194" s="17">
        <v>388</v>
      </c>
      <c r="B194" s="17" t="s">
        <v>693</v>
      </c>
      <c r="C194" s="17">
        <v>22</v>
      </c>
      <c r="D194" s="17" t="s">
        <v>149</v>
      </c>
      <c r="E194" s="17" t="s">
        <v>694</v>
      </c>
      <c r="F194" s="17" t="s">
        <v>675</v>
      </c>
      <c r="G194" s="17">
        <v>186</v>
      </c>
      <c r="H194" s="17">
        <v>186</v>
      </c>
      <c r="I194" s="17">
        <v>1290.8</v>
      </c>
      <c r="J194" s="17">
        <v>1295.3</v>
      </c>
      <c r="K194" s="17" t="s">
        <v>695</v>
      </c>
      <c r="L194" s="17" t="str">
        <f>INDEX(Vendors!$B$2:$B$13,MATCH(C194,Vendors!$A$2:$A$13,0))</f>
        <v>Sunrise Dairy Cooperative</v>
      </c>
      <c r="M194" s="18">
        <f t="shared" si="20"/>
        <v>1</v>
      </c>
      <c r="N194" s="18">
        <f t="shared" si="21"/>
        <v>1</v>
      </c>
      <c r="O194" s="19">
        <f t="shared" si="22"/>
        <v>3.4862101022621632E-3</v>
      </c>
      <c r="P194" s="18">
        <f t="shared" si="23"/>
        <v>14</v>
      </c>
    </row>
    <row r="195" spans="1:16" x14ac:dyDescent="0.25">
      <c r="A195" s="17">
        <v>389</v>
      </c>
      <c r="B195" s="17" t="s">
        <v>696</v>
      </c>
      <c r="C195" s="17">
        <v>13</v>
      </c>
      <c r="D195" s="17" t="s">
        <v>116</v>
      </c>
      <c r="E195" s="17" t="s">
        <v>671</v>
      </c>
      <c r="F195" s="17" t="s">
        <v>671</v>
      </c>
      <c r="G195" s="17">
        <v>80</v>
      </c>
      <c r="H195" s="17">
        <v>67</v>
      </c>
      <c r="I195" s="17">
        <v>1621.6</v>
      </c>
      <c r="J195" s="17">
        <v>1648.4</v>
      </c>
      <c r="K195" s="17" t="s">
        <v>697</v>
      </c>
      <c r="L195" s="17" t="str">
        <f>INDEX(Vendors!$B$2:$B$13,MATCH(C195,Vendors!$A$2:$A$13,0))</f>
        <v>Meadowbrook Dairy Co-op</v>
      </c>
      <c r="M195" s="18">
        <f t="shared" si="20"/>
        <v>1</v>
      </c>
      <c r="N195" s="18">
        <f t="shared" si="21"/>
        <v>0</v>
      </c>
      <c r="O195" s="19">
        <f t="shared" si="22"/>
        <v>1.6526887025160447E-2</v>
      </c>
      <c r="P195" s="18">
        <f t="shared" si="23"/>
        <v>14</v>
      </c>
    </row>
    <row r="196" spans="1:16" x14ac:dyDescent="0.25">
      <c r="A196" s="17">
        <v>390</v>
      </c>
      <c r="B196" s="17" t="s">
        <v>698</v>
      </c>
      <c r="C196" s="17">
        <v>18</v>
      </c>
      <c r="D196" s="17" t="s">
        <v>134</v>
      </c>
      <c r="E196" s="17" t="s">
        <v>626</v>
      </c>
      <c r="F196" s="17" t="s">
        <v>629</v>
      </c>
      <c r="G196" s="17">
        <v>107</v>
      </c>
      <c r="H196" s="17">
        <v>107</v>
      </c>
      <c r="I196" s="17">
        <v>2020.2</v>
      </c>
      <c r="J196" s="17">
        <v>1677.6</v>
      </c>
      <c r="K196" s="17" t="s">
        <v>699</v>
      </c>
      <c r="L196" s="17" t="str">
        <f>INDEX(Vendors!$B$2:$B$13,MATCH(C196,Vendors!$A$2:$A$13,0))</f>
        <v>Crestline Packaging Supply</v>
      </c>
      <c r="M196" s="18">
        <f t="shared" si="20"/>
        <v>1</v>
      </c>
      <c r="N196" s="18">
        <f t="shared" si="21"/>
        <v>1</v>
      </c>
      <c r="O196" s="19">
        <f t="shared" si="22"/>
        <v>-0.16958716958716966</v>
      </c>
      <c r="P196" s="18">
        <f t="shared" si="23"/>
        <v>12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33"/>
  <sheetViews>
    <sheetView showGridLines="0" zoomScaleNormal="100" workbookViewId="0">
      <selection activeCell="E10" sqref="E10"/>
    </sheetView>
  </sheetViews>
  <sheetFormatPr baseColWidth="10" defaultColWidth="8.6640625" defaultRowHeight="19" x14ac:dyDescent="0.25"/>
  <cols>
    <col min="1" max="1" width="3" style="15" customWidth="1"/>
    <col min="2" max="5" width="28.83203125" style="15" customWidth="1"/>
    <col min="6" max="6" width="22.83203125" style="15" customWidth="1"/>
    <col min="7" max="7" width="20.1640625" style="15" customWidth="1"/>
    <col min="8" max="8" width="1.1640625" style="15" customWidth="1"/>
    <col min="9" max="9" width="0.33203125" style="15" customWidth="1"/>
    <col min="10" max="17" width="28.83203125" style="15" customWidth="1"/>
    <col min="18" max="19" width="28.83203125" customWidth="1"/>
  </cols>
  <sheetData>
    <row r="2" spans="2:14" x14ac:dyDescent="0.25">
      <c r="B2" s="10" t="s">
        <v>700</v>
      </c>
      <c r="H2" s="21" t="s">
        <v>78</v>
      </c>
    </row>
    <row r="3" spans="2:14" x14ac:dyDescent="0.25">
      <c r="B3" s="11" t="s">
        <v>701</v>
      </c>
    </row>
    <row r="5" spans="2:14" x14ac:dyDescent="0.25">
      <c r="B5" s="14" t="s">
        <v>13</v>
      </c>
      <c r="F5" s="14" t="s">
        <v>702</v>
      </c>
      <c r="J5" s="14" t="s">
        <v>703</v>
      </c>
      <c r="N5" s="14" t="s">
        <v>10</v>
      </c>
    </row>
    <row r="6" spans="2:14" x14ac:dyDescent="0.25">
      <c r="B6" s="22">
        <f>COUNTA(CycleCounts!B2:B391)</f>
        <v>390</v>
      </c>
      <c r="F6" s="22">
        <f>COUNTIFS(CycleCounts!$F$2:$F$391,"&lt;&gt;0")</f>
        <v>44</v>
      </c>
      <c r="J6" s="23">
        <f>1-(COUNTIFS(CycleCounts!$F$2:$F$391,"&lt;&gt;0")/COUNTA(CycleCounts!B2:B391))</f>
        <v>0.88717948717948714</v>
      </c>
      <c r="N6" s="22">
        <f>COUNTA(Products!A2:A31)</f>
        <v>30</v>
      </c>
    </row>
    <row r="8" spans="2:14" x14ac:dyDescent="0.25">
      <c r="B8" s="10" t="s">
        <v>704</v>
      </c>
    </row>
    <row r="9" spans="2:14" x14ac:dyDescent="0.25">
      <c r="B9" s="16" t="s">
        <v>85</v>
      </c>
      <c r="C9" s="16" t="s">
        <v>705</v>
      </c>
      <c r="D9" s="16" t="s">
        <v>706</v>
      </c>
      <c r="E9" s="16" t="s">
        <v>707</v>
      </c>
    </row>
    <row r="10" spans="2:14" x14ac:dyDescent="0.25">
      <c r="B10" s="17" t="s">
        <v>122</v>
      </c>
      <c r="C10" s="18">
        <f>COUNTIFS(CycleCounts!$I$2:$I$391,B10)</f>
        <v>39</v>
      </c>
      <c r="D10" s="18">
        <f>COUNTIFS(CycleCounts!$I$2:$I$391,B10,CycleCounts!$F$2:$F$391,"&lt;&gt;0")</f>
        <v>4</v>
      </c>
      <c r="E10" s="19">
        <f t="shared" ref="E10:E17" si="0">IF(C10=0,0,D10/C10)</f>
        <v>0.10256410256410256</v>
      </c>
    </row>
    <row r="11" spans="2:14" x14ac:dyDescent="0.25">
      <c r="B11" s="17" t="s">
        <v>106</v>
      </c>
      <c r="C11" s="18">
        <f>COUNTIFS(CycleCounts!$I$2:$I$391,B11)</f>
        <v>52</v>
      </c>
      <c r="D11" s="18">
        <f>COUNTIFS(CycleCounts!$I$2:$I$391,B11,CycleCounts!$F$2:$F$391,"&lt;&gt;0")</f>
        <v>5</v>
      </c>
      <c r="E11" s="19">
        <f t="shared" si="0"/>
        <v>9.6153846153846159E-2</v>
      </c>
    </row>
    <row r="12" spans="2:14" x14ac:dyDescent="0.25">
      <c r="B12" s="17" t="s">
        <v>129</v>
      </c>
      <c r="C12" s="18">
        <f>COUNTIFS(CycleCounts!$I$2:$I$391,B12)</f>
        <v>52</v>
      </c>
      <c r="D12" s="18">
        <f>COUNTIFS(CycleCounts!$I$2:$I$391,B12,CycleCounts!$F$2:$F$391,"&lt;&gt;0")</f>
        <v>5</v>
      </c>
      <c r="E12" s="19">
        <f t="shared" si="0"/>
        <v>9.6153846153846159E-2</v>
      </c>
    </row>
    <row r="13" spans="2:14" x14ac:dyDescent="0.25">
      <c r="B13" s="17" t="s">
        <v>151</v>
      </c>
      <c r="C13" s="18">
        <f>COUNTIFS(CycleCounts!$I$2:$I$391,B13)</f>
        <v>39</v>
      </c>
      <c r="D13" s="18">
        <f>COUNTIFS(CycleCounts!$I$2:$I$391,B13,CycleCounts!$F$2:$F$391,"&lt;&gt;0")</f>
        <v>4</v>
      </c>
      <c r="E13" s="19">
        <f t="shared" si="0"/>
        <v>0.10256410256410256</v>
      </c>
    </row>
    <row r="14" spans="2:14" x14ac:dyDescent="0.25">
      <c r="B14" s="17" t="s">
        <v>158</v>
      </c>
      <c r="C14" s="18">
        <f>COUNTIFS(CycleCounts!$I$2:$I$391,B14)</f>
        <v>39</v>
      </c>
      <c r="D14" s="18">
        <f>COUNTIFS(CycleCounts!$I$2:$I$391,B14,CycleCounts!$F$2:$F$391,"&lt;&gt;0")</f>
        <v>4</v>
      </c>
      <c r="E14" s="19">
        <f t="shared" si="0"/>
        <v>0.10256410256410256</v>
      </c>
    </row>
    <row r="15" spans="2:14" x14ac:dyDescent="0.25">
      <c r="B15" s="17" t="s">
        <v>97</v>
      </c>
      <c r="C15" s="18">
        <f>COUNTIFS(CycleCounts!$I$2:$I$391,B15)</f>
        <v>52</v>
      </c>
      <c r="D15" s="18">
        <f>COUNTIFS(CycleCounts!$I$2:$I$391,B15,CycleCounts!$F$2:$F$391,"&lt;&gt;0")</f>
        <v>3</v>
      </c>
      <c r="E15" s="19">
        <f t="shared" si="0"/>
        <v>5.7692307692307696E-2</v>
      </c>
    </row>
    <row r="16" spans="2:14" x14ac:dyDescent="0.25">
      <c r="B16" s="17" t="s">
        <v>138</v>
      </c>
      <c r="C16" s="18">
        <f>COUNTIFS(CycleCounts!$I$2:$I$391,B16)</f>
        <v>78</v>
      </c>
      <c r="D16" s="18">
        <f>COUNTIFS(CycleCounts!$I$2:$I$391,B16,CycleCounts!$F$2:$F$391,"&lt;&gt;0")</f>
        <v>13</v>
      </c>
      <c r="E16" s="19">
        <f t="shared" si="0"/>
        <v>0.16666666666666666</v>
      </c>
    </row>
    <row r="17" spans="2:5" x14ac:dyDescent="0.25">
      <c r="B17" s="17" t="s">
        <v>115</v>
      </c>
      <c r="C17" s="18">
        <f>COUNTIFS(CycleCounts!$I$2:$I$391,B17)</f>
        <v>39</v>
      </c>
      <c r="D17" s="18">
        <f>COUNTIFS(CycleCounts!$I$2:$I$391,B17,CycleCounts!$F$2:$F$391,"&lt;&gt;0")</f>
        <v>6</v>
      </c>
      <c r="E17" s="19">
        <f t="shared" si="0"/>
        <v>0.15384615384615385</v>
      </c>
    </row>
    <row r="19" spans="2:5" x14ac:dyDescent="0.25">
      <c r="B19" s="10" t="s">
        <v>708</v>
      </c>
    </row>
    <row r="20" spans="2:5" x14ac:dyDescent="0.25">
      <c r="B20" s="16" t="s">
        <v>709</v>
      </c>
      <c r="C20" s="16" t="s">
        <v>705</v>
      </c>
      <c r="D20" s="16" t="s">
        <v>706</v>
      </c>
      <c r="E20" s="16" t="s">
        <v>710</v>
      </c>
    </row>
    <row r="21" spans="2:5" x14ac:dyDescent="0.25">
      <c r="B21" s="17" t="s">
        <v>171</v>
      </c>
      <c r="C21" s="18">
        <f>COUNTIFS(CycleCounts!$C$2:$C$391,B21)</f>
        <v>30</v>
      </c>
      <c r="D21" s="18">
        <f>COUNTIFS(CycleCounts!$C$2:$C$391,B21,CycleCounts!$F$2:$F$391,"&lt;&gt;0")</f>
        <v>3</v>
      </c>
      <c r="E21" s="19">
        <f t="shared" ref="E21:E33" si="1">IF(C21=0,0,1-(D21/C21))</f>
        <v>0.9</v>
      </c>
    </row>
    <row r="22" spans="2:5" x14ac:dyDescent="0.25">
      <c r="B22" s="17" t="s">
        <v>173</v>
      </c>
      <c r="C22" s="18">
        <f>COUNTIFS(CycleCounts!$C$2:$C$391,B22)</f>
        <v>30</v>
      </c>
      <c r="D22" s="18">
        <f>COUNTIFS(CycleCounts!$C$2:$C$391,B22,CycleCounts!$F$2:$F$391,"&lt;&gt;0")</f>
        <v>4</v>
      </c>
      <c r="E22" s="19">
        <f t="shared" si="1"/>
        <v>0.8666666666666667</v>
      </c>
    </row>
    <row r="23" spans="2:5" x14ac:dyDescent="0.25">
      <c r="B23" s="17" t="s">
        <v>174</v>
      </c>
      <c r="C23" s="18">
        <f>COUNTIFS(CycleCounts!$C$2:$C$391,B23)</f>
        <v>30</v>
      </c>
      <c r="D23" s="18">
        <f>COUNTIFS(CycleCounts!$C$2:$C$391,B23,CycleCounts!$F$2:$F$391,"&lt;&gt;0")</f>
        <v>4</v>
      </c>
      <c r="E23" s="19">
        <f t="shared" si="1"/>
        <v>0.8666666666666667</v>
      </c>
    </row>
    <row r="24" spans="2:5" x14ac:dyDescent="0.25">
      <c r="B24" s="17" t="s">
        <v>175</v>
      </c>
      <c r="C24" s="18">
        <f>COUNTIFS(CycleCounts!$C$2:$C$391,B24)</f>
        <v>30</v>
      </c>
      <c r="D24" s="18">
        <f>COUNTIFS(CycleCounts!$C$2:$C$391,B24,CycleCounts!$F$2:$F$391,"&lt;&gt;0")</f>
        <v>7</v>
      </c>
      <c r="E24" s="19">
        <f t="shared" si="1"/>
        <v>0.76666666666666661</v>
      </c>
    </row>
    <row r="25" spans="2:5" x14ac:dyDescent="0.25">
      <c r="B25" s="17" t="s">
        <v>176</v>
      </c>
      <c r="C25" s="18">
        <f>COUNTIFS(CycleCounts!$C$2:$C$391,B25)</f>
        <v>30</v>
      </c>
      <c r="D25" s="18">
        <f>COUNTIFS(CycleCounts!$C$2:$C$391,B25,CycleCounts!$F$2:$F$391,"&lt;&gt;0")</f>
        <v>1</v>
      </c>
      <c r="E25" s="19">
        <f t="shared" si="1"/>
        <v>0.96666666666666667</v>
      </c>
    </row>
    <row r="26" spans="2:5" x14ac:dyDescent="0.25">
      <c r="B26" s="17" t="s">
        <v>177</v>
      </c>
      <c r="C26" s="18">
        <f>COUNTIFS(CycleCounts!$C$2:$C$391,B26)</f>
        <v>30</v>
      </c>
      <c r="D26" s="18">
        <f>COUNTIFS(CycleCounts!$C$2:$C$391,B26,CycleCounts!$F$2:$F$391,"&lt;&gt;0")</f>
        <v>2</v>
      </c>
      <c r="E26" s="19">
        <f t="shared" si="1"/>
        <v>0.93333333333333335</v>
      </c>
    </row>
    <row r="27" spans="2:5" x14ac:dyDescent="0.25">
      <c r="B27" s="17" t="s">
        <v>178</v>
      </c>
      <c r="C27" s="18">
        <f>COUNTIFS(CycleCounts!$C$2:$C$391,B27)</f>
        <v>30</v>
      </c>
      <c r="D27" s="18">
        <f>COUNTIFS(CycleCounts!$C$2:$C$391,B27,CycleCounts!$F$2:$F$391,"&lt;&gt;0")</f>
        <v>1</v>
      </c>
      <c r="E27" s="19">
        <f t="shared" si="1"/>
        <v>0.96666666666666667</v>
      </c>
    </row>
    <row r="28" spans="2:5" x14ac:dyDescent="0.25">
      <c r="B28" s="17" t="s">
        <v>179</v>
      </c>
      <c r="C28" s="18">
        <f>COUNTIFS(CycleCounts!$C$2:$C$391,B28)</f>
        <v>30</v>
      </c>
      <c r="D28" s="18">
        <f>COUNTIFS(CycleCounts!$C$2:$C$391,B28,CycleCounts!$F$2:$F$391,"&lt;&gt;0")</f>
        <v>2</v>
      </c>
      <c r="E28" s="19">
        <f t="shared" si="1"/>
        <v>0.93333333333333335</v>
      </c>
    </row>
    <row r="29" spans="2:5" x14ac:dyDescent="0.25">
      <c r="B29" s="17" t="s">
        <v>180</v>
      </c>
      <c r="C29" s="18">
        <f>COUNTIFS(CycleCounts!$C$2:$C$391,B29)</f>
        <v>30</v>
      </c>
      <c r="D29" s="18">
        <f>COUNTIFS(CycleCounts!$C$2:$C$391,B29,CycleCounts!$F$2:$F$391,"&lt;&gt;0")</f>
        <v>1</v>
      </c>
      <c r="E29" s="19">
        <f t="shared" si="1"/>
        <v>0.96666666666666667</v>
      </c>
    </row>
    <row r="30" spans="2:5" x14ac:dyDescent="0.25">
      <c r="B30" s="17" t="s">
        <v>181</v>
      </c>
      <c r="C30" s="18">
        <f>COUNTIFS(CycleCounts!$C$2:$C$391,B30)</f>
        <v>30</v>
      </c>
      <c r="D30" s="18">
        <f>COUNTIFS(CycleCounts!$C$2:$C$391,B30,CycleCounts!$F$2:$F$391,"&lt;&gt;0")</f>
        <v>3</v>
      </c>
      <c r="E30" s="19">
        <f t="shared" si="1"/>
        <v>0.9</v>
      </c>
    </row>
    <row r="31" spans="2:5" x14ac:dyDescent="0.25">
      <c r="B31" s="17" t="s">
        <v>182</v>
      </c>
      <c r="C31" s="18">
        <f>COUNTIFS(CycleCounts!$C$2:$C$391,B31)</f>
        <v>30</v>
      </c>
      <c r="D31" s="18">
        <f>COUNTIFS(CycleCounts!$C$2:$C$391,B31,CycleCounts!$F$2:$F$391,"&lt;&gt;0")</f>
        <v>8</v>
      </c>
      <c r="E31" s="19">
        <f t="shared" si="1"/>
        <v>0.73333333333333339</v>
      </c>
    </row>
    <row r="32" spans="2:5" x14ac:dyDescent="0.25">
      <c r="B32" s="17" t="s">
        <v>183</v>
      </c>
      <c r="C32" s="18">
        <f>COUNTIFS(CycleCounts!$C$2:$C$391,B32)</f>
        <v>30</v>
      </c>
      <c r="D32" s="18">
        <f>COUNTIFS(CycleCounts!$C$2:$C$391,B32,CycleCounts!$F$2:$F$391,"&lt;&gt;0")</f>
        <v>6</v>
      </c>
      <c r="E32" s="19">
        <f t="shared" si="1"/>
        <v>0.8</v>
      </c>
    </row>
    <row r="33" spans="2:5" x14ac:dyDescent="0.25">
      <c r="B33" s="17" t="s">
        <v>184</v>
      </c>
      <c r="C33" s="18">
        <f>COUNTIFS(CycleCounts!$C$2:$C$391,B33)</f>
        <v>30</v>
      </c>
      <c r="D33" s="18">
        <f>COUNTIFS(CycleCounts!$C$2:$C$391,B33,CycleCounts!$F$2:$F$391,"&lt;&gt;0")</f>
        <v>2</v>
      </c>
      <c r="E33" s="19">
        <f t="shared" si="1"/>
        <v>0.93333333333333335</v>
      </c>
    </row>
  </sheetData>
  <hyperlinks>
    <hyperlink ref="H2" location="'Executive Summary'!A1" display="← Back to Executive Summary" xr:uid="{00000000-0004-0000-0700-000000000000}"/>
  </hyperlink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9"/>
  <sheetViews>
    <sheetView showGridLines="0" topLeftCell="A19" zoomScaleNormal="100" workbookViewId="0">
      <selection activeCell="T33" sqref="T33"/>
    </sheetView>
  </sheetViews>
  <sheetFormatPr baseColWidth="10" defaultColWidth="8.6640625" defaultRowHeight="19" x14ac:dyDescent="0.25"/>
  <cols>
    <col min="1" max="1" width="3" style="15" customWidth="1"/>
    <col min="2" max="2" width="33.6640625" style="15" customWidth="1"/>
    <col min="3" max="3" width="17.33203125" style="15" customWidth="1"/>
    <col min="4" max="4" width="25.1640625" style="15" customWidth="1"/>
    <col min="5" max="5" width="20.5" style="15" customWidth="1"/>
    <col min="6" max="6" width="28" style="15" customWidth="1"/>
    <col min="7" max="19" width="8.6640625" style="15"/>
  </cols>
  <sheetData>
    <row r="2" spans="2:14" x14ac:dyDescent="0.25">
      <c r="B2" s="10" t="s">
        <v>711</v>
      </c>
      <c r="H2" s="21" t="s">
        <v>78</v>
      </c>
    </row>
    <row r="3" spans="2:14" x14ac:dyDescent="0.25">
      <c r="B3" s="11" t="s">
        <v>712</v>
      </c>
    </row>
    <row r="5" spans="2:14" x14ac:dyDescent="0.25">
      <c r="B5" s="14" t="s">
        <v>14</v>
      </c>
      <c r="F5" s="14" t="s">
        <v>713</v>
      </c>
      <c r="J5" s="14" t="s">
        <v>714</v>
      </c>
      <c r="N5" s="14" t="s">
        <v>715</v>
      </c>
    </row>
    <row r="6" spans="2:14" x14ac:dyDescent="0.25">
      <c r="B6" s="22">
        <f>COUNTA(Receiving!B2:B196)</f>
        <v>195</v>
      </c>
      <c r="F6" s="23">
        <f>AVERAGE(Receiving!M2:M196)</f>
        <v>0.85641025641025637</v>
      </c>
      <c r="J6" s="23">
        <f>AVERAGE(Receiving!N2:N196)</f>
        <v>0.92307692307692313</v>
      </c>
      <c r="N6" s="23">
        <f>AVERAGE(Receiving!O2:O196)</f>
        <v>-1.6202340549705305E-2</v>
      </c>
    </row>
    <row r="8" spans="2:14" x14ac:dyDescent="0.25">
      <c r="B8" s="10" t="s">
        <v>716</v>
      </c>
    </row>
    <row r="9" spans="2:14" x14ac:dyDescent="0.25">
      <c r="B9" s="16" t="s">
        <v>717</v>
      </c>
      <c r="C9" s="16" t="s">
        <v>718</v>
      </c>
      <c r="D9" s="16" t="s">
        <v>719</v>
      </c>
      <c r="E9" s="16" t="s">
        <v>720</v>
      </c>
      <c r="F9" s="16" t="s">
        <v>721</v>
      </c>
    </row>
    <row r="10" spans="2:14" x14ac:dyDescent="0.25">
      <c r="B10" s="17" t="s">
        <v>192</v>
      </c>
      <c r="C10" s="18">
        <f>COUNTIFS(Receiving!$C$2:$C$196,13)</f>
        <v>16</v>
      </c>
      <c r="D10" s="19">
        <f>AVERAGEIFS(Receiving!$M$2:$M$196,Receiving!$C$2:$C$196,13)</f>
        <v>1</v>
      </c>
      <c r="E10" s="19">
        <f>AVERAGEIFS(Receiving!$N$2:$N$196,Receiving!$C$2:$C$196,13)</f>
        <v>0.875</v>
      </c>
      <c r="F10" s="19">
        <f>AVERAGEIFS(Receiving!$O$2:$O$196,Receiving!$C$2:$C$196,13)</f>
        <v>3.9521468975169958E-3</v>
      </c>
    </row>
    <row r="11" spans="2:14" x14ac:dyDescent="0.25">
      <c r="B11" s="17" t="s">
        <v>194</v>
      </c>
      <c r="C11" s="18">
        <f>COUNTIFS(Receiving!$C$2:$C$196,14)</f>
        <v>18</v>
      </c>
      <c r="D11" s="19">
        <f>AVERAGEIFS(Receiving!$M$2:$M$196,Receiving!$C$2:$C$196,14)</f>
        <v>0.72222222222222221</v>
      </c>
      <c r="E11" s="19">
        <f>AVERAGEIFS(Receiving!$N$2:$N$196,Receiving!$C$2:$C$196,14)</f>
        <v>0.88888888888888884</v>
      </c>
      <c r="F11" s="19">
        <f>AVERAGEIFS(Receiving!$O$2:$O$196,Receiving!$C$2:$C$196,14)</f>
        <v>-3.905881647271689E-2</v>
      </c>
    </row>
    <row r="12" spans="2:14" x14ac:dyDescent="0.25">
      <c r="B12" s="17" t="s">
        <v>196</v>
      </c>
      <c r="C12" s="18">
        <f>COUNTIFS(Receiving!$C$2:$C$196,15)</f>
        <v>20</v>
      </c>
      <c r="D12" s="19">
        <f>AVERAGEIFS(Receiving!$M$2:$M$196,Receiving!$C$2:$C$196,15)</f>
        <v>0.95</v>
      </c>
      <c r="E12" s="19">
        <f>AVERAGEIFS(Receiving!$N$2:$N$196,Receiving!$C$2:$C$196,15)</f>
        <v>0.95</v>
      </c>
      <c r="F12" s="19">
        <f>AVERAGEIFS(Receiving!$O$2:$O$196,Receiving!$C$2:$C$196,15)</f>
        <v>-4.0160360615539995E-3</v>
      </c>
    </row>
    <row r="13" spans="2:14" x14ac:dyDescent="0.25">
      <c r="B13" s="17" t="s">
        <v>198</v>
      </c>
      <c r="C13" s="18">
        <f>COUNTIFS(Receiving!$C$2:$C$196,16)</f>
        <v>23</v>
      </c>
      <c r="D13" s="19">
        <f>AVERAGEIFS(Receiving!$M$2:$M$196,Receiving!$C$2:$C$196,16)</f>
        <v>0.86956521739130432</v>
      </c>
      <c r="E13" s="19">
        <f>AVERAGEIFS(Receiving!$N$2:$N$196,Receiving!$C$2:$C$196,16)</f>
        <v>0.86956521739130432</v>
      </c>
      <c r="F13" s="19">
        <f>AVERAGEIFS(Receiving!$O$2:$O$196,Receiving!$C$2:$C$196,16)</f>
        <v>-1.4394371216235578E-2</v>
      </c>
    </row>
    <row r="14" spans="2:14" x14ac:dyDescent="0.25">
      <c r="B14" s="17" t="s">
        <v>200</v>
      </c>
      <c r="C14" s="18">
        <f>COUNTIFS(Receiving!$C$2:$C$196,17)</f>
        <v>14</v>
      </c>
      <c r="D14" s="19">
        <f>AVERAGEIFS(Receiving!$M$2:$M$196,Receiving!$C$2:$C$196,17)</f>
        <v>1</v>
      </c>
      <c r="E14" s="19">
        <f>AVERAGEIFS(Receiving!$N$2:$N$196,Receiving!$C$2:$C$196,17)</f>
        <v>0.9285714285714286</v>
      </c>
      <c r="F14" s="19">
        <f>AVERAGEIFS(Receiving!$O$2:$O$196,Receiving!$C$2:$C$196,17)</f>
        <v>-1.0563039843357502E-2</v>
      </c>
    </row>
    <row r="15" spans="2:14" x14ac:dyDescent="0.25">
      <c r="B15" s="17" t="s">
        <v>202</v>
      </c>
      <c r="C15" s="18">
        <f>COUNTIFS(Receiving!$C$2:$C$196,18)</f>
        <v>14</v>
      </c>
      <c r="D15" s="19">
        <f>AVERAGEIFS(Receiving!$M$2:$M$196,Receiving!$C$2:$C$196,18)</f>
        <v>0.7142857142857143</v>
      </c>
      <c r="E15" s="19">
        <f>AVERAGEIFS(Receiving!$N$2:$N$196,Receiving!$C$2:$C$196,18)</f>
        <v>1</v>
      </c>
      <c r="F15" s="19">
        <f>AVERAGEIFS(Receiving!$O$2:$O$196,Receiving!$C$2:$C$196,18)</f>
        <v>-3.5679555193801962E-2</v>
      </c>
    </row>
    <row r="16" spans="2:14" x14ac:dyDescent="0.25">
      <c r="B16" s="17" t="s">
        <v>204</v>
      </c>
      <c r="C16" s="18">
        <f>COUNTIFS(Receiving!$C$2:$C$196,19)</f>
        <v>14</v>
      </c>
      <c r="D16" s="19">
        <f>AVERAGEIFS(Receiving!$M$2:$M$196,Receiving!$C$2:$C$196,19)</f>
        <v>0.9285714285714286</v>
      </c>
      <c r="E16" s="19">
        <f>AVERAGEIFS(Receiving!$N$2:$N$196,Receiving!$C$2:$C$196,19)</f>
        <v>1</v>
      </c>
      <c r="F16" s="19">
        <f>AVERAGEIFS(Receiving!$O$2:$O$196,Receiving!$C$2:$C$196,19)</f>
        <v>-4.3705107177716956E-3</v>
      </c>
    </row>
    <row r="17" spans="2:6" x14ac:dyDescent="0.25">
      <c r="B17" s="17" t="s">
        <v>206</v>
      </c>
      <c r="C17" s="18">
        <f>COUNTIFS(Receiving!$C$2:$C$196,20)</f>
        <v>15</v>
      </c>
      <c r="D17" s="19">
        <f>AVERAGEIFS(Receiving!$M$2:$M$196,Receiving!$C$2:$C$196,20)</f>
        <v>0.8666666666666667</v>
      </c>
      <c r="E17" s="19">
        <f>AVERAGEIFS(Receiving!$N$2:$N$196,Receiving!$C$2:$C$196,20)</f>
        <v>1</v>
      </c>
      <c r="F17" s="19">
        <f>AVERAGEIFS(Receiving!$O$2:$O$196,Receiving!$C$2:$C$196,20)</f>
        <v>-2.0622282434939751E-3</v>
      </c>
    </row>
    <row r="18" spans="2:6" x14ac:dyDescent="0.25">
      <c r="B18" s="17" t="s">
        <v>208</v>
      </c>
      <c r="C18" s="18">
        <f>COUNTIFS(Receiving!$C$2:$C$196,21)</f>
        <v>15</v>
      </c>
      <c r="D18" s="19">
        <f>AVERAGEIFS(Receiving!$M$2:$M$196,Receiving!$C$2:$C$196,21)</f>
        <v>0.6</v>
      </c>
      <c r="E18" s="19">
        <f>AVERAGEIFS(Receiving!$N$2:$N$196,Receiving!$C$2:$C$196,21)</f>
        <v>0.8666666666666667</v>
      </c>
      <c r="F18" s="19">
        <f>AVERAGEIFS(Receiving!$O$2:$O$196,Receiving!$C$2:$C$196,21)</f>
        <v>-2.5527146379390533E-2</v>
      </c>
    </row>
    <row r="19" spans="2:6" x14ac:dyDescent="0.25">
      <c r="B19" s="17" t="s">
        <v>210</v>
      </c>
      <c r="C19" s="18">
        <f>COUNTIFS(Receiving!$C$2:$C$196,22)</f>
        <v>12</v>
      </c>
      <c r="D19" s="19">
        <f>AVERAGEIFS(Receiving!$M$2:$M$196,Receiving!$C$2:$C$196,22)</f>
        <v>1</v>
      </c>
      <c r="E19" s="19">
        <f>AVERAGEIFS(Receiving!$N$2:$N$196,Receiving!$C$2:$C$196,22)</f>
        <v>0.91666666666666663</v>
      </c>
      <c r="F19" s="19">
        <f>AVERAGEIFS(Receiving!$O$2:$O$196,Receiving!$C$2:$C$196,22)</f>
        <v>-2.1563306814740304E-2</v>
      </c>
    </row>
    <row r="20" spans="2:6" x14ac:dyDescent="0.25">
      <c r="B20" s="17" t="s">
        <v>212</v>
      </c>
      <c r="C20" s="18">
        <f>COUNTIFS(Receiving!$C$2:$C$196,23)</f>
        <v>23</v>
      </c>
      <c r="D20" s="19">
        <f>AVERAGEIFS(Receiving!$M$2:$M$196,Receiving!$C$2:$C$196,23)</f>
        <v>0.95652173913043481</v>
      </c>
      <c r="E20" s="19">
        <f>AVERAGEIFS(Receiving!$N$2:$N$196,Receiving!$C$2:$C$196,23)</f>
        <v>0.95652173913043481</v>
      </c>
      <c r="F20" s="19">
        <f>AVERAGEIFS(Receiving!$O$2:$O$196,Receiving!$C$2:$C$196,23)</f>
        <v>-1.063917749148195E-2</v>
      </c>
    </row>
    <row r="21" spans="2:6" x14ac:dyDescent="0.25">
      <c r="B21" s="17" t="s">
        <v>214</v>
      </c>
      <c r="C21" s="18">
        <f>COUNTIFS(Receiving!$C$2:$C$196,24)</f>
        <v>11</v>
      </c>
      <c r="D21" s="19">
        <f>AVERAGEIFS(Receiving!$M$2:$M$196,Receiving!$C$2:$C$196,24)</f>
        <v>0.54545454545454541</v>
      </c>
      <c r="E21" s="19">
        <f>AVERAGEIFS(Receiving!$N$2:$N$196,Receiving!$C$2:$C$196,24)</f>
        <v>0.81818181818181823</v>
      </c>
      <c r="F21" s="19">
        <f>AVERAGEIFS(Receiving!$O$2:$O$196,Receiving!$C$2:$C$196,24)</f>
        <v>-4.3850539804193664E-2</v>
      </c>
    </row>
    <row r="25" spans="2:6" x14ac:dyDescent="0.25">
      <c r="B25" s="10" t="s">
        <v>722</v>
      </c>
    </row>
    <row r="26" spans="2:6" x14ac:dyDescent="0.25">
      <c r="B26" s="16" t="s">
        <v>723</v>
      </c>
      <c r="C26" s="16" t="s">
        <v>718</v>
      </c>
      <c r="D26" s="16" t="s">
        <v>724</v>
      </c>
      <c r="E26" s="16" t="s">
        <v>719</v>
      </c>
    </row>
    <row r="27" spans="2:6" x14ac:dyDescent="0.25">
      <c r="B27" s="17" t="s">
        <v>725</v>
      </c>
      <c r="C27" s="18">
        <f>COUNTIFS(Receiving!$P$2:$P$196,0)</f>
        <v>1</v>
      </c>
      <c r="D27" s="18">
        <f>SUMIFS(Receiving!$M$2:$M$196,Receiving!$P$2:$P$196,0)</f>
        <v>0</v>
      </c>
      <c r="E27" s="19">
        <f t="shared" ref="E27:E39" si="0">IF(C27=0,0,D27/C27)</f>
        <v>0</v>
      </c>
    </row>
    <row r="28" spans="2:6" x14ac:dyDescent="0.25">
      <c r="B28" s="17" t="s">
        <v>726</v>
      </c>
      <c r="C28" s="18">
        <f>COUNTIFS(Receiving!$P$2:$P$196,1)</f>
        <v>10</v>
      </c>
      <c r="D28" s="18">
        <f>SUMIFS(Receiving!$M$2:$M$196,Receiving!$P$2:$P$196,1)</f>
        <v>7</v>
      </c>
      <c r="E28" s="19">
        <f t="shared" si="0"/>
        <v>0.7</v>
      </c>
    </row>
    <row r="29" spans="2:6" x14ac:dyDescent="0.25">
      <c r="B29" s="17" t="s">
        <v>727</v>
      </c>
      <c r="C29" s="18">
        <f>COUNTIFS(Receiving!$P$2:$P$196,2)</f>
        <v>14</v>
      </c>
      <c r="D29" s="18">
        <f>SUMIFS(Receiving!$M$2:$M$196,Receiving!$P$2:$P$196,2)</f>
        <v>14</v>
      </c>
      <c r="E29" s="19">
        <f t="shared" si="0"/>
        <v>1</v>
      </c>
    </row>
    <row r="30" spans="2:6" x14ac:dyDescent="0.25">
      <c r="B30" s="17" t="s">
        <v>728</v>
      </c>
      <c r="C30" s="18">
        <f>COUNTIFS(Receiving!$P$2:$P$196,3)</f>
        <v>16</v>
      </c>
      <c r="D30" s="18">
        <f>SUMIFS(Receiving!$M$2:$M$196,Receiving!$P$2:$P$196,3)</f>
        <v>15</v>
      </c>
      <c r="E30" s="19">
        <f t="shared" si="0"/>
        <v>0.9375</v>
      </c>
    </row>
    <row r="31" spans="2:6" x14ac:dyDescent="0.25">
      <c r="B31" s="17" t="s">
        <v>729</v>
      </c>
      <c r="C31" s="18">
        <f>COUNTIFS(Receiving!$P$2:$P$196,4)</f>
        <v>15</v>
      </c>
      <c r="D31" s="18">
        <f>SUMIFS(Receiving!$M$2:$M$196,Receiving!$P$2:$P$196,4)</f>
        <v>13</v>
      </c>
      <c r="E31" s="19">
        <f t="shared" si="0"/>
        <v>0.8666666666666667</v>
      </c>
    </row>
    <row r="32" spans="2:6" x14ac:dyDescent="0.25">
      <c r="B32" s="17" t="s">
        <v>730</v>
      </c>
      <c r="C32" s="18">
        <f>COUNTIFS(Receiving!$P$2:$P$196,5)</f>
        <v>16</v>
      </c>
      <c r="D32" s="18">
        <f>SUMIFS(Receiving!$M$2:$M$196,Receiving!$P$2:$P$196,5)</f>
        <v>12</v>
      </c>
      <c r="E32" s="19">
        <f t="shared" si="0"/>
        <v>0.75</v>
      </c>
    </row>
    <row r="33" spans="2:5" x14ac:dyDescent="0.25">
      <c r="B33" s="17" t="s">
        <v>731</v>
      </c>
      <c r="C33" s="18">
        <f>COUNTIFS(Receiving!$P$2:$P$196,6)</f>
        <v>15</v>
      </c>
      <c r="D33" s="18">
        <f>SUMIFS(Receiving!$M$2:$M$196,Receiving!$P$2:$P$196,6)</f>
        <v>14</v>
      </c>
      <c r="E33" s="19">
        <f t="shared" si="0"/>
        <v>0.93333333333333335</v>
      </c>
    </row>
    <row r="34" spans="2:5" x14ac:dyDescent="0.25">
      <c r="B34" s="17" t="s">
        <v>732</v>
      </c>
      <c r="C34" s="18">
        <f>COUNTIFS(Receiving!$P$2:$P$196,7)</f>
        <v>13</v>
      </c>
      <c r="D34" s="18">
        <f>SUMIFS(Receiving!$M$2:$M$196,Receiving!$P$2:$P$196,7)</f>
        <v>12</v>
      </c>
      <c r="E34" s="19">
        <f t="shared" si="0"/>
        <v>0.92307692307692313</v>
      </c>
    </row>
    <row r="35" spans="2:5" x14ac:dyDescent="0.25">
      <c r="B35" s="17" t="s">
        <v>733</v>
      </c>
      <c r="C35" s="18">
        <f>COUNTIFS(Receiving!$P$2:$P$196,8)</f>
        <v>18</v>
      </c>
      <c r="D35" s="18">
        <f>SUMIFS(Receiving!$M$2:$M$196,Receiving!$P$2:$P$196,8)</f>
        <v>16</v>
      </c>
      <c r="E35" s="19">
        <f t="shared" si="0"/>
        <v>0.88888888888888884</v>
      </c>
    </row>
    <row r="36" spans="2:5" x14ac:dyDescent="0.25">
      <c r="B36" s="17" t="s">
        <v>734</v>
      </c>
      <c r="C36" s="18">
        <f>COUNTIFS(Receiving!$P$2:$P$196,9)</f>
        <v>14</v>
      </c>
      <c r="D36" s="18">
        <f>SUMIFS(Receiving!$M$2:$M$196,Receiving!$P$2:$P$196,9)</f>
        <v>11</v>
      </c>
      <c r="E36" s="19">
        <f t="shared" si="0"/>
        <v>0.7857142857142857</v>
      </c>
    </row>
    <row r="37" spans="2:5" x14ac:dyDescent="0.25">
      <c r="B37" s="17" t="s">
        <v>735</v>
      </c>
      <c r="C37" s="18">
        <f>COUNTIFS(Receiving!$P$2:$P$196,10)</f>
        <v>14</v>
      </c>
      <c r="D37" s="18">
        <f>SUMIFS(Receiving!$M$2:$M$196,Receiving!$P$2:$P$196,10)</f>
        <v>13</v>
      </c>
      <c r="E37" s="19">
        <f t="shared" si="0"/>
        <v>0.9285714285714286</v>
      </c>
    </row>
    <row r="38" spans="2:5" x14ac:dyDescent="0.25">
      <c r="B38" s="17" t="s">
        <v>736</v>
      </c>
      <c r="C38" s="18">
        <f>COUNTIFS(Receiving!$P$2:$P$196,11)</f>
        <v>15</v>
      </c>
      <c r="D38" s="18">
        <f>SUMIFS(Receiving!$M$2:$M$196,Receiving!$P$2:$P$196,11)</f>
        <v>10</v>
      </c>
      <c r="E38" s="19">
        <f t="shared" si="0"/>
        <v>0.66666666666666663</v>
      </c>
    </row>
    <row r="39" spans="2:5" x14ac:dyDescent="0.25">
      <c r="B39" s="17" t="s">
        <v>737</v>
      </c>
      <c r="C39" s="18">
        <f>COUNTIFS(Receiving!$P$2:$P$196,12)</f>
        <v>19</v>
      </c>
      <c r="D39" s="18">
        <f>SUMIFS(Receiving!$M$2:$M$196,Receiving!$P$2:$P$196,12)</f>
        <v>17</v>
      </c>
      <c r="E39" s="19">
        <f t="shared" si="0"/>
        <v>0.89473684210526316</v>
      </c>
    </row>
  </sheetData>
  <hyperlinks>
    <hyperlink ref="H2" location="'Executive Summary'!A1" display="← Back to Executive Summary" xr:uid="{00000000-0004-0000-0800-000000000000}"/>
  </hyperlink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Executive Summary</vt:lpstr>
      <vt:lpstr>README</vt:lpstr>
      <vt:lpstr>SKU Tracker</vt:lpstr>
      <vt:lpstr>Products</vt:lpstr>
      <vt:lpstr>CycleCounts</vt:lpstr>
      <vt:lpstr>Vendors</vt:lpstr>
      <vt:lpstr>Receiving</vt:lpstr>
      <vt:lpstr>Inventory Dashboard</vt:lpstr>
      <vt:lpstr>Vendor Dashboard</vt:lpstr>
      <vt:lpstr>Employees</vt:lpstr>
      <vt:lpstr>LaborLog</vt:lpstr>
      <vt:lpstr>Labor Dashboard</vt:lpstr>
      <vt:lpstr>Orders</vt:lpstr>
      <vt:lpstr>Returns</vt:lpstr>
      <vt:lpstr>Order Fulfillment Dashboard</vt:lpstr>
      <vt:lpstr>Capacity &amp; Cost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 Evans</cp:lastModifiedBy>
  <cp:revision>1</cp:revision>
  <dcterms:created xsi:type="dcterms:W3CDTF">2026-07-23T02:30:25Z</dcterms:created>
  <dcterms:modified xsi:type="dcterms:W3CDTF">2026-07-24T02:15:49Z</dcterms:modified>
  <dc:language>en-US</dc:language>
</cp:coreProperties>
</file>